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yasko\Desktop\第8回理事会\第8回理事会資料\"/>
    </mc:Choice>
  </mc:AlternateContent>
  <xr:revisionPtr revIDLastSave="0" documentId="13_ncr:1_{D8C3E1B4-4A39-46A9-ACD8-7931966C739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一般会計" sheetId="5" r:id="rId1"/>
    <sheet name="特別会計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C95" i="5" l="1"/>
  <c r="BE95" i="5"/>
  <c r="BB95" i="5"/>
  <c r="BB88" i="5"/>
  <c r="A17" i="5"/>
  <c r="A18" i="5" s="1"/>
  <c r="A21" i="5"/>
  <c r="A22" i="5" s="1"/>
  <c r="A23" i="5" s="1"/>
  <c r="A24" i="5" s="1"/>
  <c r="A25" i="5" s="1"/>
  <c r="A28" i="5"/>
  <c r="A29" i="5" s="1"/>
  <c r="A31" i="5"/>
  <c r="A32" i="5" s="1"/>
  <c r="A33" i="5"/>
  <c r="A37" i="5"/>
  <c r="A39" i="5" s="1"/>
  <c r="A42" i="5"/>
  <c r="A43" i="5" s="1"/>
  <c r="A45" i="5"/>
  <c r="A48" i="5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7" i="5"/>
  <c r="A68" i="5" s="1"/>
  <c r="A69" i="5" s="1"/>
  <c r="A70" i="5" s="1"/>
  <c r="A72" i="5"/>
  <c r="A73" i="5" s="1"/>
  <c r="A74" i="5" s="1"/>
  <c r="A75" i="5" s="1"/>
  <c r="A76" i="5" s="1"/>
  <c r="A80" i="5"/>
  <c r="A81" i="5" s="1"/>
  <c r="A82" i="5" s="1"/>
  <c r="A83" i="5" s="1"/>
  <c r="A84" i="5" s="1"/>
  <c r="A88" i="5"/>
  <c r="A89" i="5" s="1"/>
  <c r="A95" i="5"/>
  <c r="A96" i="5" s="1"/>
  <c r="A97" i="5" s="1"/>
  <c r="A103" i="5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5" i="5"/>
  <c r="A116" i="5" s="1"/>
  <c r="A118" i="5"/>
  <c r="A119" i="5" s="1"/>
  <c r="A120" i="5" s="1"/>
  <c r="A121" i="5" s="1"/>
  <c r="A122" i="5" s="1"/>
  <c r="A124" i="5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N97" i="5"/>
  <c r="AM97" i="5"/>
  <c r="AL97" i="5"/>
  <c r="I97" i="5"/>
  <c r="H97" i="5"/>
  <c r="G97" i="5"/>
  <c r="F97" i="5"/>
  <c r="E97" i="5"/>
  <c r="AT96" i="5"/>
  <c r="AS96" i="5" s="1"/>
  <c r="BE71" i="5"/>
  <c r="BE80" i="5"/>
  <c r="BE79" i="5" s="1"/>
  <c r="BE51" i="5"/>
  <c r="BE34" i="5"/>
  <c r="BE32" i="5" s="1"/>
  <c r="BC81" i="5"/>
  <c r="BC71" i="5"/>
  <c r="I134" i="5"/>
  <c r="F134" i="5"/>
  <c r="AZ133" i="5"/>
  <c r="AZ134" i="5" s="1"/>
  <c r="AW133" i="5"/>
  <c r="AV133" i="5"/>
  <c r="AN133" i="5"/>
  <c r="AW131" i="5"/>
  <c r="AV131" i="5"/>
  <c r="AZ131" i="5" s="1"/>
  <c r="AF131" i="5"/>
  <c r="AN128" i="5"/>
  <c r="AN125" i="5" s="1"/>
  <c r="AM128" i="5"/>
  <c r="AM125" i="5" s="1"/>
  <c r="BA126" i="5"/>
  <c r="BA125" i="5" s="1"/>
  <c r="BE125" i="5"/>
  <c r="BC125" i="5"/>
  <c r="BB125" i="5"/>
  <c r="AZ125" i="5"/>
  <c r="AY125" i="5"/>
  <c r="AX125" i="5"/>
  <c r="AW125" i="5"/>
  <c r="AV125" i="5"/>
  <c r="AU125" i="5"/>
  <c r="AT125" i="5"/>
  <c r="AS125" i="5"/>
  <c r="AR125" i="5"/>
  <c r="AQ125" i="5"/>
  <c r="AP125" i="5"/>
  <c r="AO125" i="5"/>
  <c r="AL125" i="5"/>
  <c r="AK125" i="5"/>
  <c r="AJ125" i="5"/>
  <c r="AI125" i="5"/>
  <c r="AH125" i="5"/>
  <c r="AG125" i="5"/>
  <c r="AF125" i="5"/>
  <c r="AE125" i="5"/>
  <c r="AD125" i="5"/>
  <c r="AC125" i="5"/>
  <c r="AB125" i="5"/>
  <c r="AA125" i="5"/>
  <c r="Z125" i="5"/>
  <c r="Y125" i="5"/>
  <c r="X125" i="5"/>
  <c r="W125" i="5"/>
  <c r="V125" i="5"/>
  <c r="U125" i="5"/>
  <c r="T125" i="5"/>
  <c r="S125" i="5"/>
  <c r="R125" i="5"/>
  <c r="Q125" i="5"/>
  <c r="P125" i="5"/>
  <c r="O125" i="5"/>
  <c r="N125" i="5"/>
  <c r="M125" i="5"/>
  <c r="L125" i="5"/>
  <c r="K125" i="5"/>
  <c r="J125" i="5"/>
  <c r="I125" i="5"/>
  <c r="H125" i="5"/>
  <c r="G125" i="5"/>
  <c r="F125" i="5"/>
  <c r="E125" i="5"/>
  <c r="BA124" i="5"/>
  <c r="BA123" i="5" s="1"/>
  <c r="AW124" i="5"/>
  <c r="AW123" i="5" s="1"/>
  <c r="AV124" i="5"/>
  <c r="AV123" i="5" s="1"/>
  <c r="AO124" i="5"/>
  <c r="AO123" i="5" s="1"/>
  <c r="AF124" i="5"/>
  <c r="AF123" i="5" s="1"/>
  <c r="BE123" i="5"/>
  <c r="BC123" i="5"/>
  <c r="BB123" i="5"/>
  <c r="AZ123" i="5"/>
  <c r="AY123" i="5"/>
  <c r="AX123" i="5"/>
  <c r="AU123" i="5"/>
  <c r="AT123" i="5"/>
  <c r="AS123" i="5"/>
  <c r="AR123" i="5"/>
  <c r="AQ123" i="5"/>
  <c r="AP123" i="5"/>
  <c r="AN123" i="5"/>
  <c r="AM123" i="5"/>
  <c r="AL123" i="5"/>
  <c r="AK123" i="5"/>
  <c r="AJ123" i="5"/>
  <c r="AI123" i="5"/>
  <c r="AH123" i="5"/>
  <c r="AG123" i="5"/>
  <c r="AE123" i="5"/>
  <c r="AD123" i="5"/>
  <c r="AC123" i="5"/>
  <c r="AB123" i="5"/>
  <c r="AA123" i="5"/>
  <c r="Z123" i="5"/>
  <c r="Y123" i="5"/>
  <c r="X123" i="5"/>
  <c r="W123" i="5"/>
  <c r="V123" i="5"/>
  <c r="U123" i="5"/>
  <c r="T123" i="5"/>
  <c r="S123" i="5"/>
  <c r="R123" i="5"/>
  <c r="Q123" i="5"/>
  <c r="P123" i="5"/>
  <c r="O123" i="5"/>
  <c r="N123" i="5"/>
  <c r="M123" i="5"/>
  <c r="L123" i="5"/>
  <c r="K123" i="5"/>
  <c r="J123" i="5"/>
  <c r="I123" i="5"/>
  <c r="H123" i="5"/>
  <c r="G123" i="5"/>
  <c r="F123" i="5"/>
  <c r="E123" i="5"/>
  <c r="AE118" i="5"/>
  <c r="AE117" i="5" s="1"/>
  <c r="BE117" i="5"/>
  <c r="BC117" i="5"/>
  <c r="BB117" i="5"/>
  <c r="BA117" i="5"/>
  <c r="AY117" i="5"/>
  <c r="AX117" i="5"/>
  <c r="AW117" i="5"/>
  <c r="AV117" i="5"/>
  <c r="AU117" i="5"/>
  <c r="AT117" i="5"/>
  <c r="AS117" i="5"/>
  <c r="AR117" i="5"/>
  <c r="AQ117" i="5"/>
  <c r="AP117" i="5"/>
  <c r="AO117" i="5"/>
  <c r="AN117" i="5"/>
  <c r="AM117" i="5"/>
  <c r="AL117" i="5"/>
  <c r="AK117" i="5"/>
  <c r="AJ117" i="5"/>
  <c r="AI117" i="5"/>
  <c r="AH117" i="5"/>
  <c r="AG117" i="5"/>
  <c r="AF117" i="5"/>
  <c r="AD117" i="5"/>
  <c r="AC117" i="5"/>
  <c r="AB117" i="5"/>
  <c r="AA117" i="5"/>
  <c r="Z117" i="5"/>
  <c r="Y117" i="5"/>
  <c r="X117" i="5"/>
  <c r="W117" i="5"/>
  <c r="V117" i="5"/>
  <c r="U117" i="5"/>
  <c r="T117" i="5"/>
  <c r="S117" i="5"/>
  <c r="R117" i="5"/>
  <c r="Q117" i="5"/>
  <c r="P117" i="5"/>
  <c r="O117" i="5"/>
  <c r="N117" i="5"/>
  <c r="M117" i="5"/>
  <c r="L117" i="5"/>
  <c r="K117" i="5"/>
  <c r="J117" i="5"/>
  <c r="I117" i="5"/>
  <c r="H117" i="5"/>
  <c r="G117" i="5"/>
  <c r="F117" i="5"/>
  <c r="E117" i="5"/>
  <c r="AW116" i="5"/>
  <c r="AV116" i="5"/>
  <c r="AF116" i="5"/>
  <c r="AW115" i="5"/>
  <c r="AV115" i="5"/>
  <c r="Y115" i="5"/>
  <c r="AF115" i="5" s="1"/>
  <c r="BA114" i="5"/>
  <c r="BA109" i="5" s="1"/>
  <c r="AW114" i="5"/>
  <c r="AU114" i="5"/>
  <c r="AU109" i="5" s="1"/>
  <c r="AT114" i="5"/>
  <c r="AV114" i="5" s="1"/>
  <c r="AS114" i="5"/>
  <c r="AS109" i="5" s="1"/>
  <c r="AF114" i="5"/>
  <c r="AW112" i="5"/>
  <c r="AV112" i="5"/>
  <c r="AF112" i="5"/>
  <c r="AW111" i="5"/>
  <c r="AV111" i="5"/>
  <c r="AF111" i="5"/>
  <c r="AW110" i="5"/>
  <c r="AV110" i="5"/>
  <c r="AP110" i="5"/>
  <c r="AP109" i="5" s="1"/>
  <c r="AF110" i="5"/>
  <c r="BE109" i="5"/>
  <c r="BC109" i="5"/>
  <c r="BB109" i="5"/>
  <c r="AZ109" i="5"/>
  <c r="AY109" i="5"/>
  <c r="AX109" i="5"/>
  <c r="AR109" i="5"/>
  <c r="AQ109" i="5"/>
  <c r="AO109" i="5"/>
  <c r="AN109" i="5"/>
  <c r="AM109" i="5"/>
  <c r="AL109" i="5"/>
  <c r="AE109" i="5"/>
  <c r="AD109" i="5"/>
  <c r="AC109" i="5"/>
  <c r="AB109" i="5"/>
  <c r="AA109" i="5"/>
  <c r="Z109" i="5"/>
  <c r="X109" i="5"/>
  <c r="H109" i="5"/>
  <c r="G109" i="5"/>
  <c r="E109" i="5"/>
  <c r="AW107" i="5"/>
  <c r="AV107" i="5"/>
  <c r="AF107" i="5"/>
  <c r="AW106" i="5"/>
  <c r="AV106" i="5"/>
  <c r="AF106" i="5"/>
  <c r="AF105" i="5" s="1"/>
  <c r="BE105" i="5"/>
  <c r="BC105" i="5"/>
  <c r="BB105" i="5"/>
  <c r="BA105" i="5"/>
  <c r="AZ105" i="5"/>
  <c r="AY105" i="5"/>
  <c r="AX105" i="5"/>
  <c r="AU105" i="5"/>
  <c r="AT105" i="5"/>
  <c r="AS105" i="5"/>
  <c r="AR105" i="5"/>
  <c r="AQ105" i="5"/>
  <c r="AP105" i="5"/>
  <c r="AO105" i="5"/>
  <c r="AN105" i="5"/>
  <c r="AM105" i="5"/>
  <c r="AL105" i="5"/>
  <c r="AK105" i="5"/>
  <c r="AJ105" i="5"/>
  <c r="AI105" i="5"/>
  <c r="AH105" i="5"/>
  <c r="AG105" i="5"/>
  <c r="AE105" i="5"/>
  <c r="AD105" i="5"/>
  <c r="AC105" i="5"/>
  <c r="AC104" i="5" s="1"/>
  <c r="AC102" i="5" s="1"/>
  <c r="AB105" i="5"/>
  <c r="AA105" i="5"/>
  <c r="AA104" i="5" s="1"/>
  <c r="AA102" i="5" s="1"/>
  <c r="Z105" i="5"/>
  <c r="Y105" i="5"/>
  <c r="X105" i="5"/>
  <c r="W105" i="5"/>
  <c r="V105" i="5"/>
  <c r="U105" i="5"/>
  <c r="U104" i="5" s="1"/>
  <c r="U102" i="5" s="1"/>
  <c r="T105" i="5"/>
  <c r="S105" i="5"/>
  <c r="R105" i="5"/>
  <c r="Q105" i="5"/>
  <c r="P105" i="5"/>
  <c r="O105" i="5"/>
  <c r="N105" i="5"/>
  <c r="M105" i="5"/>
  <c r="M104" i="5" s="1"/>
  <c r="M102" i="5" s="1"/>
  <c r="L105" i="5"/>
  <c r="K105" i="5"/>
  <c r="J105" i="5"/>
  <c r="I105" i="5"/>
  <c r="H105" i="5"/>
  <c r="G105" i="5"/>
  <c r="F105" i="5"/>
  <c r="E105" i="5"/>
  <c r="BC103" i="5"/>
  <c r="AW101" i="5"/>
  <c r="AV101" i="5"/>
  <c r="AF101" i="5"/>
  <c r="AW100" i="5"/>
  <c r="AV100" i="5"/>
  <c r="AF100" i="5"/>
  <c r="AW99" i="5"/>
  <c r="AV99" i="5"/>
  <c r="AF99" i="5"/>
  <c r="AZ98" i="5"/>
  <c r="AY98" i="5"/>
  <c r="AX98" i="5"/>
  <c r="AW98" i="5"/>
  <c r="AU98" i="5"/>
  <c r="AU97" i="5" s="1"/>
  <c r="AT98" i="5"/>
  <c r="AV98" i="5" s="1"/>
  <c r="AS98" i="5"/>
  <c r="AS97" i="5" s="1"/>
  <c r="AR98" i="5"/>
  <c r="AR97" i="5" s="1"/>
  <c r="AQ98" i="5"/>
  <c r="AQ97" i="5" s="1"/>
  <c r="AP98" i="5"/>
  <c r="AP97" i="5" s="1"/>
  <c r="AO98" i="5"/>
  <c r="AN98" i="5"/>
  <c r="AM98" i="5"/>
  <c r="AL98" i="5"/>
  <c r="AF98" i="5"/>
  <c r="AW95" i="5"/>
  <c r="AV95" i="5"/>
  <c r="AF95" i="5"/>
  <c r="AW94" i="5"/>
  <c r="AV94" i="5"/>
  <c r="AV88" i="5" s="1"/>
  <c r="AF94" i="5"/>
  <c r="AF88" i="5" s="1"/>
  <c r="AZ91" i="5"/>
  <c r="AZ90" i="5" s="1"/>
  <c r="AZ88" i="5" s="1"/>
  <c r="BC90" i="5"/>
  <c r="BC88" i="5" s="1"/>
  <c r="BA90" i="5"/>
  <c r="BA88" i="5" s="1"/>
  <c r="AU90" i="5"/>
  <c r="AU88" i="5" s="1"/>
  <c r="AT90" i="5"/>
  <c r="AS90" i="5"/>
  <c r="AR90" i="5"/>
  <c r="AR88" i="5" s="1"/>
  <c r="AQ90" i="5"/>
  <c r="AQ88" i="5" s="1"/>
  <c r="AP90" i="5"/>
  <c r="AP88" i="5" s="1"/>
  <c r="AN90" i="5"/>
  <c r="AN88" i="5" s="1"/>
  <c r="AM90" i="5"/>
  <c r="AM88" i="5" s="1"/>
  <c r="AL90" i="5"/>
  <c r="AL88" i="5" s="1"/>
  <c r="I90" i="5"/>
  <c r="I88" i="5" s="1"/>
  <c r="H90" i="5"/>
  <c r="H88" i="5" s="1"/>
  <c r="G90" i="5"/>
  <c r="G88" i="5" s="1"/>
  <c r="F90" i="5"/>
  <c r="F88" i="5" s="1"/>
  <c r="E90" i="5"/>
  <c r="AT89" i="5"/>
  <c r="BE88" i="5"/>
  <c r="AY88" i="5"/>
  <c r="AX88" i="5"/>
  <c r="AW88" i="5"/>
  <c r="AO88" i="5"/>
  <c r="AK88" i="5"/>
  <c r="AI88" i="5"/>
  <c r="AH88" i="5"/>
  <c r="AG88" i="5"/>
  <c r="AE88" i="5"/>
  <c r="AD88" i="5"/>
  <c r="AC88" i="5"/>
  <c r="AB88" i="5"/>
  <c r="AA88" i="5"/>
  <c r="Z88" i="5"/>
  <c r="Y88" i="5"/>
  <c r="X88" i="5"/>
  <c r="W88" i="5"/>
  <c r="V88" i="5"/>
  <c r="U88" i="5"/>
  <c r="T88" i="5"/>
  <c r="S88" i="5"/>
  <c r="R88" i="5"/>
  <c r="Q88" i="5"/>
  <c r="P88" i="5"/>
  <c r="O88" i="5"/>
  <c r="N88" i="5"/>
  <c r="M88" i="5"/>
  <c r="L88" i="5"/>
  <c r="K88" i="5"/>
  <c r="J88" i="5"/>
  <c r="E88" i="5"/>
  <c r="AW86" i="5"/>
  <c r="AV86" i="5"/>
  <c r="AF86" i="5"/>
  <c r="BA85" i="5"/>
  <c r="AX85" i="5"/>
  <c r="AU85" i="5"/>
  <c r="AT85" i="5"/>
  <c r="AV85" i="5" s="1"/>
  <c r="AS85" i="5"/>
  <c r="AR85" i="5"/>
  <c r="AQ85" i="5"/>
  <c r="AP85" i="5"/>
  <c r="AO85" i="5"/>
  <c r="AN85" i="5"/>
  <c r="AM85" i="5"/>
  <c r="AL85" i="5"/>
  <c r="AE85" i="5"/>
  <c r="AD85" i="5"/>
  <c r="AC85" i="5"/>
  <c r="AB85" i="5"/>
  <c r="AA85" i="5"/>
  <c r="Z85" i="5"/>
  <c r="Y85" i="5"/>
  <c r="X85" i="5"/>
  <c r="AZ83" i="5"/>
  <c r="AW83" i="5"/>
  <c r="AV83" i="5"/>
  <c r="AF83" i="5"/>
  <c r="BA82" i="5"/>
  <c r="AZ82" i="5"/>
  <c r="AW82" i="5"/>
  <c r="AV82" i="5"/>
  <c r="AF82" i="5"/>
  <c r="BA81" i="5"/>
  <c r="AZ81" i="5"/>
  <c r="AW81" i="5"/>
  <c r="AV81" i="5"/>
  <c r="AO81" i="5"/>
  <c r="AO80" i="5" s="1"/>
  <c r="AO79" i="5" s="1"/>
  <c r="AF81" i="5"/>
  <c r="BC80" i="5"/>
  <c r="BC79" i="5" s="1"/>
  <c r="BB80" i="5"/>
  <c r="BB79" i="5" s="1"/>
  <c r="AX80" i="5"/>
  <c r="AX79" i="5" s="1"/>
  <c r="AU80" i="5"/>
  <c r="AT80" i="5"/>
  <c r="AS80" i="5"/>
  <c r="AR80" i="5"/>
  <c r="AQ80" i="5"/>
  <c r="AP80" i="5"/>
  <c r="AN80" i="5"/>
  <c r="AM80" i="5"/>
  <c r="AL80" i="5"/>
  <c r="AK80" i="5"/>
  <c r="AK79" i="5" s="1"/>
  <c r="AJ80" i="5"/>
  <c r="AJ79" i="5" s="1"/>
  <c r="AE80" i="5"/>
  <c r="AD80" i="5"/>
  <c r="AC80" i="5"/>
  <c r="AB80" i="5"/>
  <c r="AA80" i="5"/>
  <c r="AA79" i="5" s="1"/>
  <c r="Z80" i="5"/>
  <c r="Y80" i="5"/>
  <c r="X80" i="5"/>
  <c r="W79" i="5"/>
  <c r="AW77" i="5"/>
  <c r="AV77" i="5"/>
  <c r="AZ77" i="5" s="1"/>
  <c r="AZ71" i="5" s="1"/>
  <c r="AF77" i="5"/>
  <c r="H77" i="5"/>
  <c r="H71" i="5" s="1"/>
  <c r="AW76" i="5"/>
  <c r="AV76" i="5"/>
  <c r="AR76" i="5"/>
  <c r="AR71" i="5" s="1"/>
  <c r="AQ76" i="5"/>
  <c r="AQ71" i="5" s="1"/>
  <c r="AF76" i="5"/>
  <c r="AE75" i="5"/>
  <c r="AE71" i="5" s="1"/>
  <c r="AD75" i="5"/>
  <c r="AD71" i="5" s="1"/>
  <c r="AC75" i="5"/>
  <c r="AC71" i="5" s="1"/>
  <c r="AB75" i="5"/>
  <c r="AB71" i="5" s="1"/>
  <c r="AA75" i="5"/>
  <c r="AA71" i="5" s="1"/>
  <c r="Z75" i="5"/>
  <c r="Y75" i="5"/>
  <c r="Y71" i="5" s="1"/>
  <c r="AW74" i="5"/>
  <c r="AV74" i="5"/>
  <c r="AF74" i="5"/>
  <c r="BB72" i="5"/>
  <c r="BB71" i="5" s="1"/>
  <c r="AW72" i="5"/>
  <c r="AV72" i="5"/>
  <c r="AF72" i="5"/>
  <c r="BA71" i="5"/>
  <c r="AY71" i="5"/>
  <c r="AX71" i="5"/>
  <c r="AU71" i="5"/>
  <c r="AT71" i="5"/>
  <c r="AS71" i="5"/>
  <c r="AP71" i="5"/>
  <c r="AO71" i="5"/>
  <c r="AN71" i="5"/>
  <c r="AM71" i="5"/>
  <c r="AL71" i="5"/>
  <c r="AK71" i="5"/>
  <c r="AI71" i="5"/>
  <c r="AH71" i="5"/>
  <c r="AG71" i="5"/>
  <c r="X71" i="5"/>
  <c r="W71" i="5"/>
  <c r="V71" i="5"/>
  <c r="V33" i="5" s="1"/>
  <c r="U71" i="5"/>
  <c r="U33" i="5" s="1"/>
  <c r="T71" i="5"/>
  <c r="T33" i="5" s="1"/>
  <c r="S71" i="5"/>
  <c r="S33" i="5" s="1"/>
  <c r="R71" i="5"/>
  <c r="R33" i="5" s="1"/>
  <c r="Q71" i="5"/>
  <c r="Q33" i="5" s="1"/>
  <c r="P71" i="5"/>
  <c r="O71" i="5"/>
  <c r="O33" i="5" s="1"/>
  <c r="N71" i="5"/>
  <c r="N33" i="5" s="1"/>
  <c r="M71" i="5"/>
  <c r="M33" i="5" s="1"/>
  <c r="L71" i="5"/>
  <c r="K71" i="5"/>
  <c r="K33" i="5" s="1"/>
  <c r="J71" i="5"/>
  <c r="I71" i="5"/>
  <c r="I33" i="5" s="1"/>
  <c r="G71" i="5"/>
  <c r="F71" i="5"/>
  <c r="E71" i="5"/>
  <c r="E33" i="5" s="1"/>
  <c r="AW70" i="5"/>
  <c r="AV70" i="5"/>
  <c r="AF70" i="5"/>
  <c r="AW69" i="5"/>
  <c r="AV69" i="5"/>
  <c r="AF69" i="5"/>
  <c r="AZ68" i="5"/>
  <c r="AZ67" i="5" s="1"/>
  <c r="AZ66" i="5" s="1"/>
  <c r="AW68" i="5"/>
  <c r="AV68" i="5"/>
  <c r="AF68" i="5"/>
  <c r="AW67" i="5"/>
  <c r="AV67" i="5"/>
  <c r="AF67" i="5"/>
  <c r="BE66" i="5"/>
  <c r="BC66" i="5"/>
  <c r="BB66" i="5"/>
  <c r="BA66" i="5"/>
  <c r="AY66" i="5"/>
  <c r="AX66" i="5"/>
  <c r="AU66" i="5"/>
  <c r="AT66" i="5"/>
  <c r="AS66" i="5"/>
  <c r="AR66" i="5"/>
  <c r="AQ66" i="5"/>
  <c r="AP66" i="5"/>
  <c r="AO66" i="5"/>
  <c r="AN66" i="5"/>
  <c r="AM66" i="5"/>
  <c r="AL66" i="5"/>
  <c r="AK66" i="5"/>
  <c r="AI66" i="5"/>
  <c r="AH66" i="5"/>
  <c r="AG66" i="5"/>
  <c r="AE66" i="5"/>
  <c r="AD66" i="5"/>
  <c r="AC66" i="5"/>
  <c r="AB66" i="5"/>
  <c r="AA66" i="5"/>
  <c r="Z66" i="5"/>
  <c r="Y66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J66" i="5"/>
  <c r="I66" i="5"/>
  <c r="H66" i="5"/>
  <c r="G66" i="5"/>
  <c r="F66" i="5"/>
  <c r="E66" i="5"/>
  <c r="AZ63" i="5"/>
  <c r="AZ61" i="5" s="1"/>
  <c r="AW63" i="5"/>
  <c r="AW61" i="5" s="1"/>
  <c r="AU63" i="5"/>
  <c r="AU61" i="5" s="1"/>
  <c r="AT63" i="5"/>
  <c r="AS63" i="5"/>
  <c r="AS61" i="5" s="1"/>
  <c r="AR63" i="5"/>
  <c r="AR61" i="5" s="1"/>
  <c r="AQ63" i="5"/>
  <c r="AF63" i="5"/>
  <c r="AF61" i="5" s="1"/>
  <c r="BE61" i="5"/>
  <c r="BC61" i="5"/>
  <c r="BB61" i="5"/>
  <c r="BA61" i="5"/>
  <c r="AY61" i="5"/>
  <c r="AX61" i="5"/>
  <c r="AQ61" i="5"/>
  <c r="AP61" i="5"/>
  <c r="AO61" i="5"/>
  <c r="AN61" i="5"/>
  <c r="AM61" i="5"/>
  <c r="AL61" i="5"/>
  <c r="AK61" i="5"/>
  <c r="AJ61" i="5"/>
  <c r="AI61" i="5"/>
  <c r="AH61" i="5"/>
  <c r="AG61" i="5"/>
  <c r="AE61" i="5"/>
  <c r="AD61" i="5"/>
  <c r="AC61" i="5"/>
  <c r="AB61" i="5"/>
  <c r="AA61" i="5"/>
  <c r="Z61" i="5"/>
  <c r="Y61" i="5"/>
  <c r="X61" i="5"/>
  <c r="W61" i="5"/>
  <c r="V61" i="5"/>
  <c r="U61" i="5"/>
  <c r="T61" i="5"/>
  <c r="S61" i="5"/>
  <c r="R61" i="5"/>
  <c r="Q61" i="5"/>
  <c r="P61" i="5"/>
  <c r="O61" i="5"/>
  <c r="N61" i="5"/>
  <c r="M61" i="5"/>
  <c r="L61" i="5"/>
  <c r="K61" i="5"/>
  <c r="J61" i="5"/>
  <c r="I61" i="5"/>
  <c r="H61" i="5"/>
  <c r="G61" i="5"/>
  <c r="F61" i="5"/>
  <c r="E61" i="5"/>
  <c r="BA55" i="5"/>
  <c r="BA51" i="5" s="1"/>
  <c r="AZ55" i="5"/>
  <c r="AW55" i="5"/>
  <c r="AZ54" i="5"/>
  <c r="AW54" i="5"/>
  <c r="AV54" i="5"/>
  <c r="AF54" i="5"/>
  <c r="AZ53" i="5"/>
  <c r="AW53" i="5"/>
  <c r="AV53" i="5"/>
  <c r="AF53" i="5"/>
  <c r="AW52" i="5"/>
  <c r="BC51" i="5"/>
  <c r="BB51" i="5"/>
  <c r="AY51" i="5"/>
  <c r="AX51" i="5"/>
  <c r="AU51" i="5"/>
  <c r="AT51" i="5"/>
  <c r="AS51" i="5"/>
  <c r="AR51" i="5"/>
  <c r="AQ51" i="5"/>
  <c r="AP51" i="5"/>
  <c r="AO51" i="5"/>
  <c r="AN51" i="5"/>
  <c r="AM51" i="5"/>
  <c r="AL51" i="5"/>
  <c r="AK51" i="5"/>
  <c r="AI51" i="5"/>
  <c r="AH51" i="5"/>
  <c r="AG51" i="5"/>
  <c r="AE51" i="5"/>
  <c r="AD51" i="5"/>
  <c r="AC51" i="5"/>
  <c r="AB51" i="5"/>
  <c r="AA51" i="5"/>
  <c r="Z51" i="5"/>
  <c r="Y51" i="5"/>
  <c r="X51" i="5"/>
  <c r="W51" i="5"/>
  <c r="BA49" i="5"/>
  <c r="BA48" i="5" s="1"/>
  <c r="BE48" i="5"/>
  <c r="BC48" i="5"/>
  <c r="BB48" i="5"/>
  <c r="AZ48" i="5"/>
  <c r="AY48" i="5"/>
  <c r="AX48" i="5"/>
  <c r="AW48" i="5"/>
  <c r="AV48" i="5"/>
  <c r="AU48" i="5"/>
  <c r="AT48" i="5"/>
  <c r="AS48" i="5"/>
  <c r="AR48" i="5"/>
  <c r="AQ48" i="5"/>
  <c r="AP48" i="5"/>
  <c r="AO48" i="5"/>
  <c r="AN48" i="5"/>
  <c r="AM48" i="5"/>
  <c r="AL48" i="5"/>
  <c r="AK48" i="5"/>
  <c r="AI48" i="5"/>
  <c r="AH48" i="5"/>
  <c r="AG48" i="5"/>
  <c r="AF48" i="5"/>
  <c r="AE48" i="5"/>
  <c r="AD48" i="5"/>
  <c r="AC48" i="5"/>
  <c r="AB48" i="5"/>
  <c r="AA48" i="5"/>
  <c r="Z48" i="5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H48" i="5"/>
  <c r="G48" i="5"/>
  <c r="F48" i="5"/>
  <c r="E48" i="5"/>
  <c r="AW46" i="5"/>
  <c r="AV46" i="5"/>
  <c r="AF46" i="5"/>
  <c r="AV45" i="5"/>
  <c r="AF45" i="5"/>
  <c r="AE45" i="5"/>
  <c r="AW45" i="5" s="1"/>
  <c r="BB44" i="5"/>
  <c r="BB42" i="5" s="1"/>
  <c r="AW44" i="5"/>
  <c r="AV44" i="5"/>
  <c r="AO44" i="5"/>
  <c r="AO42" i="5" s="1"/>
  <c r="AN44" i="5"/>
  <c r="AN42" i="5" s="1"/>
  <c r="AM44" i="5"/>
  <c r="AM42" i="5" s="1"/>
  <c r="AL44" i="5"/>
  <c r="AF44" i="5"/>
  <c r="BE42" i="5"/>
  <c r="BC42" i="5"/>
  <c r="BA42" i="5"/>
  <c r="AZ42" i="5"/>
  <c r="AY42" i="5"/>
  <c r="AX42" i="5"/>
  <c r="AU42" i="5"/>
  <c r="AT42" i="5"/>
  <c r="AS42" i="5"/>
  <c r="AR42" i="5"/>
  <c r="AQ42" i="5"/>
  <c r="AP42" i="5"/>
  <c r="AL42" i="5"/>
  <c r="AK42" i="5"/>
  <c r="AJ42" i="5"/>
  <c r="AI42" i="5"/>
  <c r="AH42" i="5"/>
  <c r="AG42" i="5"/>
  <c r="AD42" i="5"/>
  <c r="AC42" i="5"/>
  <c r="AB42" i="5"/>
  <c r="AA42" i="5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G42" i="5"/>
  <c r="F42" i="5"/>
  <c r="E42" i="5"/>
  <c r="AW40" i="5"/>
  <c r="AV40" i="5"/>
  <c r="AW39" i="5"/>
  <c r="AV39" i="5"/>
  <c r="AF39" i="5"/>
  <c r="AF38" i="5"/>
  <c r="AU37" i="5"/>
  <c r="AU34" i="5" s="1"/>
  <c r="AT37" i="5"/>
  <c r="AF37" i="5"/>
  <c r="AE37" i="5"/>
  <c r="AE34" i="5" s="1"/>
  <c r="BA36" i="5"/>
  <c r="BA34" i="5" s="1"/>
  <c r="AW36" i="5"/>
  <c r="AV36" i="5"/>
  <c r="AF36" i="5"/>
  <c r="AW35" i="5"/>
  <c r="AV35" i="5"/>
  <c r="AF35" i="5"/>
  <c r="BC34" i="5"/>
  <c r="BC32" i="5" s="1"/>
  <c r="BB34" i="5"/>
  <c r="AZ34" i="5"/>
  <c r="AZ32" i="5" s="1"/>
  <c r="AY34" i="5"/>
  <c r="AX34" i="5"/>
  <c r="AX32" i="5" s="1"/>
  <c r="AS34" i="5"/>
  <c r="AR34" i="5"/>
  <c r="AR32" i="5" s="1"/>
  <c r="AQ34" i="5"/>
  <c r="AP34" i="5"/>
  <c r="AP32" i="5" s="1"/>
  <c r="AO34" i="5"/>
  <c r="AN34" i="5"/>
  <c r="AN32" i="5" s="1"/>
  <c r="AM34" i="5"/>
  <c r="AM32" i="5" s="1"/>
  <c r="AL34" i="5"/>
  <c r="AL32" i="5" s="1"/>
  <c r="AK34" i="5"/>
  <c r="AK32" i="5" s="1"/>
  <c r="AD34" i="5"/>
  <c r="AD32" i="5" s="1"/>
  <c r="AC34" i="5"/>
  <c r="AC32" i="5" s="1"/>
  <c r="AB34" i="5"/>
  <c r="AB32" i="5" s="1"/>
  <c r="AA34" i="5"/>
  <c r="AA32" i="5" s="1"/>
  <c r="Z34" i="5"/>
  <c r="Z32" i="5" s="1"/>
  <c r="Y34" i="5"/>
  <c r="X34" i="5"/>
  <c r="X32" i="5" s="1"/>
  <c r="P33" i="5"/>
  <c r="L33" i="5"/>
  <c r="J33" i="5"/>
  <c r="H33" i="5"/>
  <c r="G33" i="5"/>
  <c r="F33" i="5"/>
  <c r="AS32" i="5"/>
  <c r="AO32" i="5"/>
  <c r="AJ32" i="5"/>
  <c r="AI32" i="5"/>
  <c r="AH32" i="5"/>
  <c r="AG32" i="5"/>
  <c r="Y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AW29" i="5"/>
  <c r="AV29" i="5"/>
  <c r="AZ29" i="5" s="1"/>
  <c r="AF29" i="5"/>
  <c r="AW28" i="5"/>
  <c r="AV28" i="5"/>
  <c r="AZ28" i="5" s="1"/>
  <c r="AF28" i="5"/>
  <c r="AX27" i="5"/>
  <c r="AU27" i="5"/>
  <c r="AT27" i="5"/>
  <c r="AS27" i="5"/>
  <c r="AR27" i="5"/>
  <c r="AQ27" i="5"/>
  <c r="AP27" i="5"/>
  <c r="AO27" i="5"/>
  <c r="AN27" i="5"/>
  <c r="AM27" i="5"/>
  <c r="AL27" i="5"/>
  <c r="AJ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AW26" i="5"/>
  <c r="AV26" i="5"/>
  <c r="AZ26" i="5" s="1"/>
  <c r="AZ20" i="5" s="1"/>
  <c r="AF26" i="5"/>
  <c r="AW25" i="5"/>
  <c r="AV25" i="5"/>
  <c r="AZ25" i="5" s="1"/>
  <c r="AF25" i="5"/>
  <c r="AW24" i="5"/>
  <c r="AV24" i="5"/>
  <c r="BB23" i="5"/>
  <c r="BB22" i="5" s="1"/>
  <c r="BB20" i="5" s="1"/>
  <c r="AW23" i="5"/>
  <c r="AV23" i="5"/>
  <c r="BE22" i="5"/>
  <c r="BE20" i="5" s="1"/>
  <c r="BC22" i="5"/>
  <c r="BA22" i="5"/>
  <c r="BA20" i="5" s="1"/>
  <c r="AT22" i="5"/>
  <c r="AV22" i="5" s="1"/>
  <c r="AJ22" i="5"/>
  <c r="AJ20" i="5" s="1"/>
  <c r="AF22" i="5"/>
  <c r="AE22" i="5"/>
  <c r="AW22" i="5" s="1"/>
  <c r="E22" i="5"/>
  <c r="E20" i="5" s="1"/>
  <c r="AU21" i="5"/>
  <c r="AU20" i="5" s="1"/>
  <c r="AT21" i="5"/>
  <c r="AS21" i="5"/>
  <c r="AS20" i="5" s="1"/>
  <c r="AR21" i="5"/>
  <c r="AR20" i="5" s="1"/>
  <c r="AQ21" i="5"/>
  <c r="AQ20" i="5" s="1"/>
  <c r="AP21" i="5"/>
  <c r="AP20" i="5" s="1"/>
  <c r="AO21" i="5"/>
  <c r="AO20" i="5" s="1"/>
  <c r="AN21" i="5"/>
  <c r="AM21" i="5"/>
  <c r="AM20" i="5" s="1"/>
  <c r="AL21" i="5"/>
  <c r="AL20" i="5" s="1"/>
  <c r="AD21" i="5"/>
  <c r="AW21" i="5" s="1"/>
  <c r="AC21" i="5"/>
  <c r="AC20" i="5" s="1"/>
  <c r="AB21" i="5"/>
  <c r="AB20" i="5" s="1"/>
  <c r="AA21" i="5"/>
  <c r="AA20" i="5" s="1"/>
  <c r="Z21" i="5"/>
  <c r="Y21" i="5"/>
  <c r="Y20" i="5" s="1"/>
  <c r="X21" i="5"/>
  <c r="X20" i="5" s="1"/>
  <c r="BC20" i="5"/>
  <c r="AY20" i="5"/>
  <c r="AX20" i="5"/>
  <c r="AN20" i="5"/>
  <c r="AK20" i="5"/>
  <c r="AI20" i="5"/>
  <c r="AH20" i="5"/>
  <c r="AG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AW19" i="5"/>
  <c r="AV19" i="5"/>
  <c r="AZ19" i="5" s="1"/>
  <c r="AF19" i="5"/>
  <c r="AW18" i="5"/>
  <c r="AV18" i="5"/>
  <c r="AZ18" i="5" s="1"/>
  <c r="AF18" i="5"/>
  <c r="AW17" i="5"/>
  <c r="AV17" i="5"/>
  <c r="AZ17" i="5" s="1"/>
  <c r="AF17" i="5"/>
  <c r="BE16" i="5"/>
  <c r="BC16" i="5"/>
  <c r="BB16" i="5"/>
  <c r="BA16" i="5"/>
  <c r="AX16" i="5"/>
  <c r="AU16" i="5"/>
  <c r="AT16" i="5"/>
  <c r="AS16" i="5"/>
  <c r="AR16" i="5"/>
  <c r="AQ16" i="5"/>
  <c r="AP16" i="5"/>
  <c r="AO16" i="5"/>
  <c r="AN16" i="5"/>
  <c r="AM16" i="5"/>
  <c r="AL16" i="5"/>
  <c r="AJ16" i="5"/>
  <c r="AE16" i="5"/>
  <c r="AD16" i="5"/>
  <c r="AW16" i="5" s="1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AW15" i="5"/>
  <c r="AV15" i="5"/>
  <c r="AZ15" i="5" s="1"/>
  <c r="AF15" i="5"/>
  <c r="AW14" i="5"/>
  <c r="AV14" i="5"/>
  <c r="AZ14" i="5" s="1"/>
  <c r="AF14" i="5"/>
  <c r="AF6" i="5" s="1"/>
  <c r="AO13" i="5"/>
  <c r="AN13" i="5"/>
  <c r="AN11" i="5" s="1"/>
  <c r="AM13" i="5"/>
  <c r="AM11" i="5" s="1"/>
  <c r="AL13" i="5"/>
  <c r="AL11" i="5" s="1"/>
  <c r="AE13" i="5"/>
  <c r="AE11" i="5" s="1"/>
  <c r="AD13" i="5"/>
  <c r="AC13" i="5"/>
  <c r="AV13" i="5" s="1"/>
  <c r="AB13" i="5"/>
  <c r="AB11" i="5" s="1"/>
  <c r="AA13" i="5"/>
  <c r="AA11" i="5" s="1"/>
  <c r="Z13" i="5"/>
  <c r="Z11" i="5" s="1"/>
  <c r="Y13" i="5"/>
  <c r="X13" i="5"/>
  <c r="X11" i="5" s="1"/>
  <c r="AW12" i="5"/>
  <c r="AV12" i="5"/>
  <c r="AO12" i="5"/>
  <c r="AF12" i="5"/>
  <c r="BE11" i="5"/>
  <c r="BC11" i="5"/>
  <c r="BB11" i="5"/>
  <c r="BA11" i="5"/>
  <c r="AY11" i="5"/>
  <c r="AX11" i="5"/>
  <c r="AU11" i="5"/>
  <c r="AT11" i="5"/>
  <c r="AS11" i="5"/>
  <c r="AR11" i="5"/>
  <c r="AQ11" i="5"/>
  <c r="AP11" i="5"/>
  <c r="AK11" i="5"/>
  <c r="AZ9" i="5"/>
  <c r="AZ8" i="5" s="1"/>
  <c r="AU9" i="5"/>
  <c r="AT9" i="5"/>
  <c r="AT8" i="5" s="1"/>
  <c r="AS9" i="5"/>
  <c r="AS8" i="5" s="1"/>
  <c r="AR9" i="5"/>
  <c r="AQ9" i="5"/>
  <c r="AQ8" i="5" s="1"/>
  <c r="AP9" i="5"/>
  <c r="AO9" i="5"/>
  <c r="AO8" i="5" s="1"/>
  <c r="AN9" i="5"/>
  <c r="AN8" i="5" s="1"/>
  <c r="AM9" i="5"/>
  <c r="AM8" i="5" s="1"/>
  <c r="AE9" i="5"/>
  <c r="AD9" i="5"/>
  <c r="AD8" i="5" s="1"/>
  <c r="AC9" i="5"/>
  <c r="AB9" i="5"/>
  <c r="AB8" i="5" s="1"/>
  <c r="AA9" i="5"/>
  <c r="AA8" i="5" s="1"/>
  <c r="Z9" i="5"/>
  <c r="Y9" i="5"/>
  <c r="Y8" i="5" s="1"/>
  <c r="X9" i="5"/>
  <c r="X8" i="5" s="1"/>
  <c r="A9" i="5"/>
  <c r="A10" i="5" s="1"/>
  <c r="A11" i="5" s="1"/>
  <c r="A12" i="5" s="1"/>
  <c r="A13" i="5" s="1"/>
  <c r="A14" i="5" s="1"/>
  <c r="BE8" i="5"/>
  <c r="BC8" i="5"/>
  <c r="BB8" i="5"/>
  <c r="BA8" i="5"/>
  <c r="AY8" i="5"/>
  <c r="AX8" i="5"/>
  <c r="AU8" i="5"/>
  <c r="AU6" i="5" s="1"/>
  <c r="AR8" i="5"/>
  <c r="AR6" i="5" s="1"/>
  <c r="AP8" i="5"/>
  <c r="AL8" i="5"/>
  <c r="AK8" i="5"/>
  <c r="BB7" i="5"/>
  <c r="BA7" i="5"/>
  <c r="AX7" i="5"/>
  <c r="AU7" i="5"/>
  <c r="AT7" i="5"/>
  <c r="AS7" i="5"/>
  <c r="AR7" i="5"/>
  <c r="AQ7" i="5"/>
  <c r="AP7" i="5"/>
  <c r="AO7" i="5"/>
  <c r="AN7" i="5"/>
  <c r="AM7" i="5"/>
  <c r="AL7" i="5"/>
  <c r="AE7" i="5"/>
  <c r="AW7" i="5" s="1"/>
  <c r="AD7" i="5"/>
  <c r="AC7" i="5"/>
  <c r="AB7" i="5"/>
  <c r="AA7" i="5"/>
  <c r="Z7" i="5"/>
  <c r="Y7" i="5"/>
  <c r="X7" i="5"/>
  <c r="BC6" i="5"/>
  <c r="AJ6" i="5"/>
  <c r="AI6" i="5"/>
  <c r="AH6" i="5"/>
  <c r="AG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A6" i="5"/>
  <c r="A7" i="5" s="1"/>
  <c r="U28" i="4"/>
  <c r="Q28" i="4"/>
  <c r="Y25" i="4"/>
  <c r="Y18" i="4"/>
  <c r="Y19" i="4" s="1"/>
  <c r="Y26" i="4" s="1"/>
  <c r="Y9" i="4"/>
  <c r="U18" i="4"/>
  <c r="Q18" i="4"/>
  <c r="E104" i="5" l="1"/>
  <c r="E102" i="5" s="1"/>
  <c r="X79" i="5"/>
  <c r="T5" i="5"/>
  <c r="L5" i="5"/>
  <c r="AL79" i="5"/>
  <c r="AL41" i="5" s="1"/>
  <c r="AL31" i="5" s="1"/>
  <c r="AL30" i="5" s="1"/>
  <c r="A38" i="5"/>
  <c r="AP6" i="5"/>
  <c r="AW37" i="5"/>
  <c r="M41" i="5"/>
  <c r="AQ104" i="5"/>
  <c r="AQ102" i="5" s="1"/>
  <c r="O5" i="5"/>
  <c r="W5" i="5"/>
  <c r="G5" i="5"/>
  <c r="AZ80" i="5"/>
  <c r="AZ79" i="5" s="1"/>
  <c r="AZ41" i="5" s="1"/>
  <c r="AZ31" i="5" s="1"/>
  <c r="AM33" i="5"/>
  <c r="AF34" i="5"/>
  <c r="AF32" i="5" s="1"/>
  <c r="AT97" i="5"/>
  <c r="AC11" i="5"/>
  <c r="AW13" i="5"/>
  <c r="AW11" i="5" s="1"/>
  <c r="F41" i="5"/>
  <c r="BA6" i="5"/>
  <c r="BA5" i="5" s="1"/>
  <c r="BE6" i="5"/>
  <c r="BE5" i="5" s="1"/>
  <c r="AS6" i="5"/>
  <c r="AS5" i="5" s="1"/>
  <c r="AW27" i="5"/>
  <c r="BE104" i="5"/>
  <c r="BE102" i="5" s="1"/>
  <c r="AM6" i="5"/>
  <c r="AM5" i="5" s="1"/>
  <c r="AG41" i="5"/>
  <c r="AG31" i="5" s="1"/>
  <c r="AV42" i="5"/>
  <c r="AT79" i="5"/>
  <c r="AV79" i="5" s="1"/>
  <c r="AK104" i="5"/>
  <c r="AK102" i="5" s="1"/>
  <c r="AS104" i="5"/>
  <c r="AS102" i="5" s="1"/>
  <c r="BC104" i="5"/>
  <c r="BC102" i="5" s="1"/>
  <c r="J5" i="5"/>
  <c r="R5" i="5"/>
  <c r="AV75" i="5"/>
  <c r="AV71" i="5" s="1"/>
  <c r="Y79" i="5"/>
  <c r="AS79" i="5"/>
  <c r="AF21" i="5"/>
  <c r="AF20" i="5" s="1"/>
  <c r="K5" i="5"/>
  <c r="S5" i="5"/>
  <c r="AF42" i="5"/>
  <c r="AF80" i="5"/>
  <c r="G104" i="5"/>
  <c r="G102" i="5" s="1"/>
  <c r="O104" i="5"/>
  <c r="O102" i="5" s="1"/>
  <c r="W104" i="5"/>
  <c r="W102" i="5" s="1"/>
  <c r="AE104" i="5"/>
  <c r="AE102" i="5" s="1"/>
  <c r="AW105" i="5"/>
  <c r="AF85" i="5"/>
  <c r="BB6" i="5"/>
  <c r="BB5" i="5" s="1"/>
  <c r="AQ6" i="5"/>
  <c r="AX6" i="5"/>
  <c r="AX5" i="5" s="1"/>
  <c r="BB104" i="5"/>
  <c r="BB102" i="5" s="1"/>
  <c r="BE41" i="5"/>
  <c r="BE31" i="5" s="1"/>
  <c r="AO33" i="5"/>
  <c r="BB33" i="5"/>
  <c r="AC79" i="5"/>
  <c r="AI104" i="5"/>
  <c r="AI102" i="5" s="1"/>
  <c r="AU32" i="5"/>
  <c r="AU33" i="5"/>
  <c r="X6" i="5"/>
  <c r="X5" i="5" s="1"/>
  <c r="E5" i="5"/>
  <c r="M5" i="5"/>
  <c r="U5" i="5"/>
  <c r="AO11" i="5"/>
  <c r="AO6" i="5" s="1"/>
  <c r="AO5" i="5" s="1"/>
  <c r="AP5" i="5"/>
  <c r="M31" i="5"/>
  <c r="M30" i="5" s="1"/>
  <c r="AN33" i="5"/>
  <c r="AV66" i="5"/>
  <c r="AS33" i="5"/>
  <c r="AP79" i="5"/>
  <c r="L41" i="5"/>
  <c r="L31" i="5" s="1"/>
  <c r="T41" i="5"/>
  <c r="T31" i="5" s="1"/>
  <c r="AK41" i="5"/>
  <c r="AK31" i="5" s="1"/>
  <c r="BB32" i="5"/>
  <c r="AW9" i="5"/>
  <c r="AW8" i="5" s="1"/>
  <c r="AT6" i="5"/>
  <c r="AF16" i="5"/>
  <c r="AV16" i="5"/>
  <c r="AZ16" i="5" s="1"/>
  <c r="AR5" i="5"/>
  <c r="AF51" i="5"/>
  <c r="AR79" i="5"/>
  <c r="AR41" i="5" s="1"/>
  <c r="AR31" i="5" s="1"/>
  <c r="F104" i="5"/>
  <c r="F102" i="5" s="1"/>
  <c r="N104" i="5"/>
  <c r="N102" i="5" s="1"/>
  <c r="V104" i="5"/>
  <c r="V102" i="5" s="1"/>
  <c r="AD104" i="5"/>
  <c r="AD102" i="5" s="1"/>
  <c r="AL104" i="5"/>
  <c r="AL102" i="5" s="1"/>
  <c r="AW109" i="5"/>
  <c r="AJ5" i="5"/>
  <c r="Z20" i="5"/>
  <c r="AU5" i="5"/>
  <c r="N41" i="5"/>
  <c r="N31" i="5" s="1"/>
  <c r="N30" i="5" s="1"/>
  <c r="V41" i="5"/>
  <c r="V31" i="5" s="1"/>
  <c r="V30" i="5" s="1"/>
  <c r="AM104" i="5"/>
  <c r="AM102" i="5" s="1"/>
  <c r="AE20" i="5"/>
  <c r="AZ6" i="5"/>
  <c r="AE42" i="5"/>
  <c r="AV105" i="5"/>
  <c r="K104" i="5"/>
  <c r="K102" i="5" s="1"/>
  <c r="S104" i="5"/>
  <c r="S102" i="5" s="1"/>
  <c r="AY6" i="5"/>
  <c r="AY5" i="5" s="1"/>
  <c r="AF27" i="5"/>
  <c r="AV27" i="5"/>
  <c r="H41" i="5"/>
  <c r="H31" i="5" s="1"/>
  <c r="P41" i="5"/>
  <c r="P31" i="5" s="1"/>
  <c r="X41" i="5"/>
  <c r="X31" i="5" s="1"/>
  <c r="AO41" i="5"/>
  <c r="AZ52" i="5"/>
  <c r="AZ104" i="5"/>
  <c r="AZ102" i="5" s="1"/>
  <c r="AK6" i="5"/>
  <c r="AB33" i="5"/>
  <c r="BA133" i="5"/>
  <c r="AP41" i="5"/>
  <c r="AP31" i="5" s="1"/>
  <c r="BA104" i="5"/>
  <c r="BA102" i="5" s="1"/>
  <c r="F5" i="5"/>
  <c r="N5" i="5"/>
  <c r="V5" i="5"/>
  <c r="AF7" i="5"/>
  <c r="AV11" i="5"/>
  <c r="F31" i="5"/>
  <c r="AH41" i="5"/>
  <c r="AH31" i="5" s="1"/>
  <c r="AW80" i="5"/>
  <c r="P104" i="5"/>
  <c r="P102" i="5" s="1"/>
  <c r="X104" i="5"/>
  <c r="X102" i="5" s="1"/>
  <c r="AN104" i="5"/>
  <c r="AN102" i="5" s="1"/>
  <c r="J104" i="5"/>
  <c r="J102" i="5" s="1"/>
  <c r="R104" i="5"/>
  <c r="R102" i="5" s="1"/>
  <c r="AP33" i="5"/>
  <c r="BA33" i="5"/>
  <c r="H5" i="5"/>
  <c r="P5" i="5"/>
  <c r="AF9" i="5"/>
  <c r="AW75" i="5"/>
  <c r="I5" i="5"/>
  <c r="Q5" i="5"/>
  <c r="AL6" i="5"/>
  <c r="AL5" i="5" s="1"/>
  <c r="BC41" i="5"/>
  <c r="AL33" i="5"/>
  <c r="AD79" i="5"/>
  <c r="I104" i="5"/>
  <c r="I102" i="5" s="1"/>
  <c r="Q104" i="5"/>
  <c r="Q102" i="5" s="1"/>
  <c r="AG104" i="5"/>
  <c r="AG102" i="5" s="1"/>
  <c r="AO104" i="5"/>
  <c r="AO102" i="5" s="1"/>
  <c r="H104" i="5"/>
  <c r="H102" i="5" s="1"/>
  <c r="H30" i="5" s="1"/>
  <c r="AT109" i="5"/>
  <c r="AV109" i="5" s="1"/>
  <c r="BA80" i="5"/>
  <c r="BA79" i="5" s="1"/>
  <c r="BA41" i="5" s="1"/>
  <c r="BC5" i="5"/>
  <c r="AQ5" i="5"/>
  <c r="AF13" i="5"/>
  <c r="AT20" i="5"/>
  <c r="U41" i="5"/>
  <c r="U31" i="5" s="1"/>
  <c r="U30" i="5" s="1"/>
  <c r="AC41" i="5"/>
  <c r="AC31" i="5" s="1"/>
  <c r="AC30" i="5" s="1"/>
  <c r="AX33" i="5"/>
  <c r="AA33" i="5"/>
  <c r="AV80" i="5"/>
  <c r="AU104" i="5"/>
  <c r="AU102" i="5" s="1"/>
  <c r="L104" i="5"/>
  <c r="L102" i="5" s="1"/>
  <c r="T104" i="5"/>
  <c r="T102" i="5" s="1"/>
  <c r="AB104" i="5"/>
  <c r="AB102" i="5" s="1"/>
  <c r="AJ104" i="5"/>
  <c r="AJ102" i="5" s="1"/>
  <c r="AR104" i="5"/>
  <c r="AR102" i="5" s="1"/>
  <c r="AD33" i="5"/>
  <c r="AW66" i="5"/>
  <c r="Z8" i="5"/>
  <c r="Z6" i="5" s="1"/>
  <c r="Z5" i="5" s="1"/>
  <c r="AV9" i="5"/>
  <c r="AV8" i="5" s="1"/>
  <c r="AN6" i="5"/>
  <c r="AN5" i="5" s="1"/>
  <c r="AD20" i="5"/>
  <c r="AF66" i="5"/>
  <c r="AB79" i="5"/>
  <c r="AB41" i="5" s="1"/>
  <c r="AB31" i="5" s="1"/>
  <c r="AW104" i="5"/>
  <c r="AW102" i="5" s="1"/>
  <c r="Y109" i="5"/>
  <c r="Y104" i="5" s="1"/>
  <c r="Y102" i="5" s="1"/>
  <c r="AV7" i="5"/>
  <c r="AD11" i="5"/>
  <c r="AD6" i="5" s="1"/>
  <c r="AA6" i="5"/>
  <c r="AA5" i="5" s="1"/>
  <c r="AR33" i="5"/>
  <c r="AE79" i="5"/>
  <c r="AN79" i="5"/>
  <c r="AN41" i="5" s="1"/>
  <c r="AN31" i="5" s="1"/>
  <c r="AY104" i="5"/>
  <c r="AY102" i="5" s="1"/>
  <c r="AP104" i="5"/>
  <c r="AP102" i="5" s="1"/>
  <c r="Y33" i="5"/>
  <c r="Y41" i="5"/>
  <c r="Y31" i="5" s="1"/>
  <c r="AB6" i="5"/>
  <c r="AB5" i="5" s="1"/>
  <c r="AW20" i="5"/>
  <c r="I41" i="5"/>
  <c r="I31" i="5" s="1"/>
  <c r="I30" i="5" s="1"/>
  <c r="G41" i="5"/>
  <c r="G31" i="5" s="1"/>
  <c r="O41" i="5"/>
  <c r="O31" i="5" s="1"/>
  <c r="W41" i="5"/>
  <c r="AX41" i="5"/>
  <c r="AX31" i="5" s="1"/>
  <c r="AW51" i="5"/>
  <c r="AJ41" i="5"/>
  <c r="AT61" i="5"/>
  <c r="AV63" i="5"/>
  <c r="AV61" i="5" s="1"/>
  <c r="Z71" i="5"/>
  <c r="Z33" i="5" s="1"/>
  <c r="AF75" i="5"/>
  <c r="AF71" i="5" s="1"/>
  <c r="AQ79" i="5"/>
  <c r="AQ41" i="5" s="1"/>
  <c r="AC8" i="5"/>
  <c r="AC6" i="5" s="1"/>
  <c r="AC5" i="5" s="1"/>
  <c r="AY41" i="5"/>
  <c r="Z104" i="5"/>
  <c r="Z102" i="5" s="1"/>
  <c r="Y11" i="5"/>
  <c r="Y6" i="5" s="1"/>
  <c r="Y5" i="5" s="1"/>
  <c r="AV21" i="5"/>
  <c r="AV20" i="5" s="1"/>
  <c r="AO31" i="5"/>
  <c r="BA32" i="5"/>
  <c r="AW71" i="5"/>
  <c r="Z79" i="5"/>
  <c r="AE8" i="5"/>
  <c r="AE6" i="5" s="1"/>
  <c r="X33" i="5"/>
  <c r="AY33" i="5"/>
  <c r="AY32" i="5"/>
  <c r="AV37" i="5"/>
  <c r="AT34" i="5"/>
  <c r="J41" i="5"/>
  <c r="J31" i="5" s="1"/>
  <c r="R41" i="5"/>
  <c r="R31" i="5" s="1"/>
  <c r="AI41" i="5"/>
  <c r="AI31" i="5" s="1"/>
  <c r="AV51" i="5"/>
  <c r="AW85" i="5"/>
  <c r="Q41" i="5"/>
  <c r="Q31" i="5" s="1"/>
  <c r="K41" i="5"/>
  <c r="K31" i="5" s="1"/>
  <c r="K30" i="5" s="1"/>
  <c r="S41" i="5"/>
  <c r="S31" i="5" s="1"/>
  <c r="S30" i="5" s="1"/>
  <c r="AA41" i="5"/>
  <c r="AA31" i="5" s="1"/>
  <c r="AA30" i="5" s="1"/>
  <c r="AM79" i="5"/>
  <c r="AM41" i="5" s="1"/>
  <c r="AM31" i="5" s="1"/>
  <c r="AU79" i="5"/>
  <c r="AU41" i="5" s="1"/>
  <c r="AU31" i="5" s="1"/>
  <c r="AT88" i="5"/>
  <c r="AS89" i="5"/>
  <c r="AS88" i="5" s="1"/>
  <c r="AX104" i="5"/>
  <c r="AX102" i="5" s="1"/>
  <c r="AW34" i="5"/>
  <c r="AW32" i="5" s="1"/>
  <c r="AE32" i="5"/>
  <c r="AE33" i="5"/>
  <c r="AQ33" i="5"/>
  <c r="AQ32" i="5"/>
  <c r="E41" i="5"/>
  <c r="E31" i="5" s="1"/>
  <c r="E30" i="5" s="1"/>
  <c r="BB41" i="5"/>
  <c r="BB31" i="5" s="1"/>
  <c r="BB30" i="5" s="1"/>
  <c r="AW42" i="5"/>
  <c r="AH104" i="5"/>
  <c r="AH102" i="5" s="1"/>
  <c r="AC33" i="5"/>
  <c r="Y27" i="4"/>
  <c r="U25" i="4"/>
  <c r="U19" i="4"/>
  <c r="U26" i="4" s="1"/>
  <c r="U9" i="4"/>
  <c r="M25" i="4"/>
  <c r="M18" i="4"/>
  <c r="M19" i="4" s="1"/>
  <c r="M9" i="4"/>
  <c r="Q25" i="4"/>
  <c r="Q19" i="4"/>
  <c r="Q9" i="4"/>
  <c r="AE5" i="5" l="1"/>
  <c r="AV6" i="5"/>
  <c r="AZ5" i="5"/>
  <c r="S132" i="5"/>
  <c r="AN30" i="5"/>
  <c r="AN132" i="5" s="1"/>
  <c r="AN134" i="5" s="1"/>
  <c r="Q30" i="5"/>
  <c r="M132" i="5"/>
  <c r="AR30" i="5"/>
  <c r="AR132" i="5" s="1"/>
  <c r="BB132" i="5"/>
  <c r="AI30" i="5"/>
  <c r="AW33" i="5"/>
  <c r="J30" i="5"/>
  <c r="J132" i="5" s="1"/>
  <c r="J134" i="5" s="1"/>
  <c r="K132" i="5"/>
  <c r="K134" i="5" s="1"/>
  <c r="L133" i="5" s="1"/>
  <c r="L134" i="5" s="1"/>
  <c r="M133" i="5" s="1"/>
  <c r="M134" i="5" s="1"/>
  <c r="N133" i="5" s="1"/>
  <c r="L30" i="5"/>
  <c r="L132" i="5" s="1"/>
  <c r="U132" i="5"/>
  <c r="AS41" i="5"/>
  <c r="AS31" i="5" s="1"/>
  <c r="AS30" i="5" s="1"/>
  <c r="AS132" i="5" s="1"/>
  <c r="AS134" i="5" s="1"/>
  <c r="X30" i="5"/>
  <c r="X132" i="5" s="1"/>
  <c r="X134" i="5" s="1"/>
  <c r="G30" i="5"/>
  <c r="G132" i="5" s="1"/>
  <c r="G134" i="5" s="1"/>
  <c r="F30" i="5"/>
  <c r="AT5" i="5"/>
  <c r="AM30" i="5"/>
  <c r="AM132" i="5" s="1"/>
  <c r="R30" i="5"/>
  <c r="R132" i="5" s="1"/>
  <c r="AF79" i="5"/>
  <c r="AZ30" i="5"/>
  <c r="AB30" i="5"/>
  <c r="AB132" i="5" s="1"/>
  <c r="AB134" i="5" s="1"/>
  <c r="E132" i="5"/>
  <c r="E134" i="5" s="1"/>
  <c r="F133" i="5" s="1"/>
  <c r="F132" i="5" s="1"/>
  <c r="AK30" i="5"/>
  <c r="P30" i="5"/>
  <c r="P132" i="5" s="1"/>
  <c r="AO30" i="5"/>
  <c r="AO132" i="5" s="1"/>
  <c r="AD5" i="5"/>
  <c r="BA31" i="5"/>
  <c r="BA30" i="5" s="1"/>
  <c r="AE41" i="5"/>
  <c r="AE31" i="5" s="1"/>
  <c r="AE30" i="5" s="1"/>
  <c r="AE132" i="5" s="1"/>
  <c r="Q132" i="5"/>
  <c r="O30" i="5"/>
  <c r="O132" i="5" s="1"/>
  <c r="AL132" i="5"/>
  <c r="AV104" i="5"/>
  <c r="AV102" i="5" s="1"/>
  <c r="BE30" i="5"/>
  <c r="BE132" i="5" s="1"/>
  <c r="AF109" i="5"/>
  <c r="AF104" i="5" s="1"/>
  <c r="AF102" i="5" s="1"/>
  <c r="AT41" i="5"/>
  <c r="AG30" i="5"/>
  <c r="N132" i="5"/>
  <c r="V132" i="5"/>
  <c r="AW79" i="5"/>
  <c r="AW6" i="5"/>
  <c r="T30" i="5"/>
  <c r="T132" i="5" s="1"/>
  <c r="H132" i="5"/>
  <c r="H134" i="5" s="1"/>
  <c r="I133" i="5" s="1"/>
  <c r="I132" i="5" s="1"/>
  <c r="BC31" i="5"/>
  <c r="BC30" i="5" s="1"/>
  <c r="BC132" i="5" s="1"/>
  <c r="AC132" i="5"/>
  <c r="AC134" i="5" s="1"/>
  <c r="AX30" i="5"/>
  <c r="AX132" i="5" s="1"/>
  <c r="AX134" i="5" s="1"/>
  <c r="Y30" i="5"/>
  <c r="Y132" i="5" s="1"/>
  <c r="AU30" i="5"/>
  <c r="AU132" i="5" s="1"/>
  <c r="AU134" i="5" s="1"/>
  <c r="AY31" i="5"/>
  <c r="AY30" i="5" s="1"/>
  <c r="AY132" i="5" s="1"/>
  <c r="AY134" i="5" s="1"/>
  <c r="AD41" i="5"/>
  <c r="AD31" i="5" s="1"/>
  <c r="AD30" i="5" s="1"/>
  <c r="AD132" i="5" s="1"/>
  <c r="AD134" i="5" s="1"/>
  <c r="AF41" i="5"/>
  <c r="AF31" i="5" s="1"/>
  <c r="AF30" i="5" s="1"/>
  <c r="AT104" i="5"/>
  <c r="AT102" i="5" s="1"/>
  <c r="AH30" i="5"/>
  <c r="AA132" i="5"/>
  <c r="AA134" i="5" s="1"/>
  <c r="Z41" i="5"/>
  <c r="Z31" i="5" s="1"/>
  <c r="Z30" i="5" s="1"/>
  <c r="Z132" i="5" s="1"/>
  <c r="AP30" i="5"/>
  <c r="AP132" i="5" s="1"/>
  <c r="AF5" i="5"/>
  <c r="AW5" i="5"/>
  <c r="AF33" i="5"/>
  <c r="AQ31" i="5"/>
  <c r="AQ30" i="5" s="1"/>
  <c r="AQ132" i="5" s="1"/>
  <c r="AT33" i="5"/>
  <c r="AV33" i="5" s="1"/>
  <c r="AZ33" i="5" s="1"/>
  <c r="AT32" i="5"/>
  <c r="AV34" i="5"/>
  <c r="AV32" i="5" s="1"/>
  <c r="W33" i="5"/>
  <c r="W31" i="5"/>
  <c r="W30" i="5" s="1"/>
  <c r="W132" i="5" s="1"/>
  <c r="AV5" i="5"/>
  <c r="AW41" i="5"/>
  <c r="AW31" i="5" s="1"/>
  <c r="AW30" i="5" s="1"/>
  <c r="AV41" i="5"/>
  <c r="AJ33" i="5"/>
  <c r="AJ31" i="5"/>
  <c r="AJ30" i="5" s="1"/>
  <c r="AJ132" i="5" s="1"/>
  <c r="M26" i="4"/>
  <c r="M27" i="4" s="1"/>
  <c r="M29" i="4" s="1"/>
  <c r="Q26" i="4"/>
  <c r="Q27" i="4" s="1"/>
  <c r="U27" i="4"/>
  <c r="U29" i="4" s="1"/>
  <c r="AF132" i="5" l="1"/>
  <c r="N134" i="5"/>
  <c r="O133" i="5" s="1"/>
  <c r="BA132" i="5"/>
  <c r="BA134" i="5" s="1"/>
  <c r="BC133" i="5" s="1"/>
  <c r="AT31" i="5"/>
  <c r="AT30" i="5" s="1"/>
  <c r="AT132" i="5" s="1"/>
  <c r="AT134" i="5" s="1"/>
  <c r="AV134" i="5" s="1"/>
  <c r="O134" i="5"/>
  <c r="P133" i="5" s="1"/>
  <c r="P134" i="5" s="1"/>
  <c r="Q133" i="5" s="1"/>
  <c r="Q134" i="5" s="1"/>
  <c r="R133" i="5" s="1"/>
  <c r="R134" i="5" s="1"/>
  <c r="S133" i="5" s="1"/>
  <c r="S134" i="5" s="1"/>
  <c r="T133" i="5" s="1"/>
  <c r="T134" i="5" s="1"/>
  <c r="U133" i="5" s="1"/>
  <c r="U134" i="5" s="1"/>
  <c r="V133" i="5" s="1"/>
  <c r="V134" i="5" s="1"/>
  <c r="W133" i="5" s="1"/>
  <c r="W134" i="5" s="1"/>
  <c r="AV31" i="5"/>
  <c r="AV30" i="5" s="1"/>
  <c r="AW132" i="5"/>
  <c r="AE134" i="5"/>
  <c r="Y28" i="4"/>
  <c r="Y29" i="4" s="1"/>
  <c r="Q29" i="4"/>
  <c r="BC134" i="5" l="1"/>
  <c r="BB133" i="5"/>
  <c r="BB134" i="5" s="1"/>
  <c r="AV132" i="5"/>
  <c r="Z133" i="5"/>
  <c r="Y133" i="5"/>
  <c r="Y134" i="5" s="1"/>
  <c r="AW134" i="5"/>
  <c r="AL133" i="5"/>
  <c r="AL134" i="5" s="1"/>
  <c r="AR133" i="5"/>
  <c r="AR134" i="5" s="1"/>
  <c r="AQ133" i="5"/>
  <c r="AQ134" i="5" s="1"/>
  <c r="AJ133" i="5"/>
  <c r="AJ134" i="5" s="1"/>
  <c r="AP133" i="5" s="1"/>
  <c r="AP134" i="5" s="1"/>
  <c r="BE133" i="5" l="1"/>
  <c r="BE134" i="5" s="1"/>
  <c r="AF133" i="5"/>
  <c r="Z134" i="5"/>
  <c r="AF134" i="5" s="1"/>
  <c r="AM133" i="5" l="1"/>
  <c r="AM134" i="5" s="1"/>
  <c r="AO133" i="5"/>
  <c r="AO134" i="5" s="1"/>
</calcChain>
</file>

<file path=xl/sharedStrings.xml><?xml version="1.0" encoding="utf-8"?>
<sst xmlns="http://schemas.openxmlformats.org/spreadsheetml/2006/main" count="471" uniqueCount="315">
  <si>
    <t>謝金</t>
    <rPh sb="0" eb="2">
      <t>シャキン</t>
    </rPh>
    <phoneticPr fontId="2"/>
  </si>
  <si>
    <t>当期収支差額</t>
    <rPh sb="2" eb="4">
      <t>シュウシ</t>
    </rPh>
    <rPh sb="4" eb="6">
      <t>サガク</t>
    </rPh>
    <phoneticPr fontId="2"/>
  </si>
  <si>
    <t>前年度繰越金</t>
    <rPh sb="0" eb="3">
      <t>ゼンネンド</t>
    </rPh>
    <rPh sb="3" eb="5">
      <t>クリコシ</t>
    </rPh>
    <rPh sb="5" eb="6">
      <t>キン</t>
    </rPh>
    <phoneticPr fontId="2"/>
  </si>
  <si>
    <t>勘定科目</t>
    <rPh sb="0" eb="2">
      <t>カンジョウ</t>
    </rPh>
    <rPh sb="2" eb="4">
      <t>カモク</t>
    </rPh>
    <phoneticPr fontId="2"/>
  </si>
  <si>
    <t>NPR編集者編集料</t>
    <rPh sb="3" eb="6">
      <t>ヘンシュウシャ</t>
    </rPh>
    <rPh sb="6" eb="8">
      <t>ヘンシュウ</t>
    </rPh>
    <rPh sb="8" eb="9">
      <t>リョウ</t>
    </rPh>
    <phoneticPr fontId="2"/>
  </si>
  <si>
    <t>理事会</t>
    <rPh sb="0" eb="3">
      <t>リジカイ</t>
    </rPh>
    <phoneticPr fontId="2"/>
  </si>
  <si>
    <t>監査</t>
    <rPh sb="0" eb="2">
      <t>カンサ</t>
    </rPh>
    <phoneticPr fontId="2"/>
  </si>
  <si>
    <t>2回分</t>
    <rPh sb="1" eb="3">
      <t>カイブン</t>
    </rPh>
    <phoneticPr fontId="2"/>
  </si>
  <si>
    <t>1回分</t>
    <rPh sb="1" eb="3">
      <t>カイブン</t>
    </rPh>
    <phoneticPr fontId="2"/>
  </si>
  <si>
    <t>毎月2万</t>
    <rPh sb="0" eb="2">
      <t>マイツキ</t>
    </rPh>
    <rPh sb="3" eb="4">
      <t>マン</t>
    </rPh>
    <phoneticPr fontId="2"/>
  </si>
  <si>
    <t>4回分</t>
    <rPh sb="1" eb="3">
      <t>カイブン</t>
    </rPh>
    <phoneticPr fontId="2"/>
  </si>
  <si>
    <t>大会</t>
    <rPh sb="0" eb="2">
      <t>タイカイ</t>
    </rPh>
    <phoneticPr fontId="2"/>
  </si>
  <si>
    <t>2号分</t>
    <rPh sb="1" eb="2">
      <t>ゴウ</t>
    </rPh>
    <rPh sb="2" eb="3">
      <t>ブン</t>
    </rPh>
    <phoneticPr fontId="2"/>
  </si>
  <si>
    <t>事務局、シンポジスト</t>
    <rPh sb="0" eb="3">
      <t>ジムキョク</t>
    </rPh>
    <phoneticPr fontId="2"/>
  </si>
  <si>
    <t>講師旅費、バス代</t>
    <rPh sb="0" eb="2">
      <t>コウシ</t>
    </rPh>
    <rPh sb="2" eb="4">
      <t>リョヒ</t>
    </rPh>
    <rPh sb="7" eb="8">
      <t>ダイ</t>
    </rPh>
    <phoneticPr fontId="2"/>
  </si>
  <si>
    <t>施設費84, 弁当18万</t>
    <rPh sb="0" eb="2">
      <t>シセツ</t>
    </rPh>
    <rPh sb="2" eb="3">
      <t>ヒ</t>
    </rPh>
    <rPh sb="7" eb="9">
      <t>ベントウ</t>
    </rPh>
    <rPh sb="11" eb="12">
      <t>マン</t>
    </rPh>
    <phoneticPr fontId="2"/>
  </si>
  <si>
    <t>5人分</t>
    <rPh sb="1" eb="3">
      <t>ニンブン</t>
    </rPh>
    <phoneticPr fontId="2"/>
  </si>
  <si>
    <t>17人分</t>
    <rPh sb="2" eb="4">
      <t>ニンブン</t>
    </rPh>
    <phoneticPr fontId="2"/>
  </si>
  <si>
    <t>5人分</t>
    <rPh sb="1" eb="2">
      <t>ニン</t>
    </rPh>
    <rPh sb="2" eb="3">
      <t>ブン</t>
    </rPh>
    <phoneticPr fontId="2"/>
  </si>
  <si>
    <t>NL、NPR封入作業謝礼</t>
    <rPh sb="6" eb="8">
      <t>フウニュウ</t>
    </rPh>
    <rPh sb="8" eb="10">
      <t>サギョウ</t>
    </rPh>
    <rPh sb="10" eb="12">
      <t>シャレイ</t>
    </rPh>
    <phoneticPr fontId="2"/>
  </si>
  <si>
    <t>会場費</t>
    <rPh sb="0" eb="2">
      <t>カイジョウ</t>
    </rPh>
    <rPh sb="2" eb="3">
      <t>ヒ</t>
    </rPh>
    <phoneticPr fontId="2"/>
  </si>
  <si>
    <t>会議室第</t>
    <rPh sb="0" eb="3">
      <t>カイギシツ</t>
    </rPh>
    <rPh sb="3" eb="4">
      <t>ダイ</t>
    </rPh>
    <phoneticPr fontId="2"/>
  </si>
  <si>
    <t>弁当代など</t>
    <rPh sb="0" eb="2">
      <t>ベントウ</t>
    </rPh>
    <rPh sb="2" eb="3">
      <t>ダイ</t>
    </rPh>
    <phoneticPr fontId="2"/>
  </si>
  <si>
    <t>日常事務用品</t>
    <rPh sb="0" eb="2">
      <t>ニチジョウ</t>
    </rPh>
    <rPh sb="2" eb="4">
      <t>ジム</t>
    </rPh>
    <rPh sb="4" eb="6">
      <t>ヨウヒン</t>
    </rPh>
    <phoneticPr fontId="2"/>
  </si>
  <si>
    <t>発送関係</t>
    <rPh sb="0" eb="2">
      <t>ハッソウ</t>
    </rPh>
    <rPh sb="2" eb="4">
      <t>カンケイ</t>
    </rPh>
    <phoneticPr fontId="2"/>
  </si>
  <si>
    <t>大会関係</t>
    <rPh sb="0" eb="2">
      <t>タイカイ</t>
    </rPh>
    <rPh sb="2" eb="4">
      <t>カンケイ</t>
    </rPh>
    <phoneticPr fontId="2"/>
  </si>
  <si>
    <t>サマーセミナー関係</t>
    <rPh sb="7" eb="9">
      <t>カンケイ</t>
    </rPh>
    <phoneticPr fontId="2"/>
  </si>
  <si>
    <t>角2封筒5千 56700</t>
    <rPh sb="0" eb="1">
      <t>カク</t>
    </rPh>
    <rPh sb="2" eb="4">
      <t>フウトウ</t>
    </rPh>
    <rPh sb="5" eb="6">
      <t>セン</t>
    </rPh>
    <phoneticPr fontId="2"/>
  </si>
  <si>
    <t>PHS</t>
    <phoneticPr fontId="2"/>
  </si>
  <si>
    <t>各種システム利用料</t>
    <rPh sb="0" eb="2">
      <t>カクシュ</t>
    </rPh>
    <rPh sb="6" eb="8">
      <t>リヨウ</t>
    </rPh>
    <rPh sb="8" eb="9">
      <t>リョウ</t>
    </rPh>
    <phoneticPr fontId="2"/>
  </si>
  <si>
    <t>電報</t>
    <rPh sb="0" eb="2">
      <t>デンポウ</t>
    </rPh>
    <phoneticPr fontId="2"/>
  </si>
  <si>
    <t>2件</t>
    <rPh sb="1" eb="2">
      <t>ケン</t>
    </rPh>
    <phoneticPr fontId="2"/>
  </si>
  <si>
    <t>通信、決済、査読…</t>
    <rPh sb="0" eb="2">
      <t>ツウシン</t>
    </rPh>
    <rPh sb="3" eb="5">
      <t>ケッサイ</t>
    </rPh>
    <rPh sb="6" eb="8">
      <t>サドク</t>
    </rPh>
    <phoneticPr fontId="2"/>
  </si>
  <si>
    <t>英文校正料</t>
    <rPh sb="0" eb="2">
      <t>エイブン</t>
    </rPh>
    <rPh sb="2" eb="4">
      <t>コウセイ</t>
    </rPh>
    <rPh sb="4" eb="5">
      <t>リョウ</t>
    </rPh>
    <phoneticPr fontId="2"/>
  </si>
  <si>
    <t>ポスター20枚</t>
    <rPh sb="6" eb="7">
      <t>マイ</t>
    </rPh>
    <phoneticPr fontId="2"/>
  </si>
  <si>
    <t>会員データ管理</t>
    <rPh sb="0" eb="2">
      <t>カイイン</t>
    </rPh>
    <rPh sb="5" eb="7">
      <t>カンリ</t>
    </rPh>
    <phoneticPr fontId="2"/>
  </si>
  <si>
    <t>送金手数料</t>
    <rPh sb="0" eb="2">
      <t>ソウキン</t>
    </rPh>
    <rPh sb="2" eb="5">
      <t>テスウリョウ</t>
    </rPh>
    <phoneticPr fontId="2"/>
  </si>
  <si>
    <t>残高証明</t>
    <rPh sb="0" eb="2">
      <t>ザンダカ</t>
    </rPh>
    <rPh sb="2" eb="4">
      <t>ショウメイ</t>
    </rPh>
    <phoneticPr fontId="2"/>
  </si>
  <si>
    <t>大会清掃代</t>
    <rPh sb="0" eb="2">
      <t>タイカイ</t>
    </rPh>
    <rPh sb="2" eb="4">
      <t>セイソウ</t>
    </rPh>
    <rPh sb="4" eb="5">
      <t>ダイ</t>
    </rPh>
    <phoneticPr fontId="2"/>
  </si>
  <si>
    <t>震災PJ報告会光熱水費</t>
    <rPh sb="0" eb="2">
      <t>シンサイ</t>
    </rPh>
    <rPh sb="4" eb="7">
      <t>ホウコクカイ</t>
    </rPh>
    <rPh sb="7" eb="11">
      <t>コウネツスイヒ</t>
    </rPh>
    <phoneticPr fontId="2"/>
  </si>
  <si>
    <t>2015年度
決算</t>
    <phoneticPr fontId="2"/>
  </si>
  <si>
    <t>2016年度
決算</t>
    <rPh sb="4" eb="6">
      <t>ネンド</t>
    </rPh>
    <rPh sb="7" eb="9">
      <t>ケッサン</t>
    </rPh>
    <phoneticPr fontId="2"/>
  </si>
  <si>
    <t>2014年度
決算</t>
    <phoneticPr fontId="2"/>
  </si>
  <si>
    <t xml:space="preserve"> </t>
    <phoneticPr fontId="2"/>
  </si>
  <si>
    <t>2017年度
決算</t>
    <rPh sb="4" eb="6">
      <t>ネンド</t>
    </rPh>
    <rPh sb="7" eb="9">
      <t>ケッサン</t>
    </rPh>
    <phoneticPr fontId="2"/>
  </si>
  <si>
    <t>2013年度
決算</t>
    <phoneticPr fontId="2"/>
  </si>
  <si>
    <t>2012年度
決算</t>
    <phoneticPr fontId="2"/>
  </si>
  <si>
    <t>2011年度
決算</t>
    <phoneticPr fontId="2"/>
  </si>
  <si>
    <t>2018年
7月末実績</t>
    <rPh sb="4" eb="5">
      <t>ネン</t>
    </rPh>
    <rPh sb="7" eb="8">
      <t>ガツ</t>
    </rPh>
    <rPh sb="8" eb="9">
      <t>マツ</t>
    </rPh>
    <rPh sb="9" eb="11">
      <t>ジッセキ</t>
    </rPh>
    <phoneticPr fontId="2"/>
  </si>
  <si>
    <t xml:space="preserve"> </t>
  </si>
  <si>
    <t>2010年度
決算</t>
    <phoneticPr fontId="2"/>
  </si>
  <si>
    <t>2009年度
決算</t>
    <phoneticPr fontId="2"/>
  </si>
  <si>
    <t>同志社大学</t>
    <rPh sb="0" eb="3">
      <t>ドウシシャ</t>
    </rPh>
    <rPh sb="3" eb="5">
      <t>ダイガク</t>
    </rPh>
    <phoneticPr fontId="2"/>
  </si>
  <si>
    <t>東京学芸大学</t>
    <rPh sb="0" eb="2">
      <t>トウキョウ</t>
    </rPh>
    <rPh sb="2" eb="4">
      <t>ガクゲイ</t>
    </rPh>
    <rPh sb="4" eb="6">
      <t>ダイガク</t>
    </rPh>
    <phoneticPr fontId="2"/>
  </si>
  <si>
    <t>武蔵大学</t>
    <rPh sb="0" eb="2">
      <t>ムサシ</t>
    </rPh>
    <rPh sb="2" eb="4">
      <t>ダイガク</t>
    </rPh>
    <phoneticPr fontId="2"/>
  </si>
  <si>
    <t>関西大学</t>
    <rPh sb="0" eb="2">
      <t>カンサイ</t>
    </rPh>
    <rPh sb="2" eb="4">
      <t>ダイガク</t>
    </rPh>
    <phoneticPr fontId="2"/>
  </si>
  <si>
    <t>東洋大学</t>
    <rPh sb="0" eb="2">
      <t>トウヨウ</t>
    </rPh>
    <rPh sb="2" eb="4">
      <t>ダイガク</t>
    </rPh>
    <phoneticPr fontId="2"/>
  </si>
  <si>
    <t>広島市立大学</t>
    <rPh sb="0" eb="4">
      <t>ヒロシマシリツ</t>
    </rPh>
    <rPh sb="4" eb="6">
      <t>ダイガク</t>
    </rPh>
    <phoneticPr fontId="2"/>
  </si>
  <si>
    <t>日本大学</t>
    <rPh sb="0" eb="2">
      <t>ニホン</t>
    </rPh>
    <rPh sb="2" eb="4">
      <t>ダイガク</t>
    </rPh>
    <phoneticPr fontId="2"/>
  </si>
  <si>
    <t>名古屋大学</t>
    <rPh sb="0" eb="3">
      <t>ナゴヤ</t>
    </rPh>
    <rPh sb="3" eb="5">
      <t>ダイガク</t>
    </rPh>
    <phoneticPr fontId="2"/>
  </si>
  <si>
    <t>2008年度
決算</t>
    <phoneticPr fontId="2"/>
  </si>
  <si>
    <t>　その他販売</t>
    <rPh sb="3" eb="4">
      <t>タ</t>
    </rPh>
    <rPh sb="4" eb="6">
      <t>ハンバイ</t>
    </rPh>
    <phoneticPr fontId="2"/>
  </si>
  <si>
    <t>2006年度
決算</t>
    <phoneticPr fontId="2"/>
  </si>
  <si>
    <t>2007年度
決算</t>
    <phoneticPr fontId="2"/>
  </si>
  <si>
    <t>2005年度
決算</t>
    <phoneticPr fontId="2"/>
  </si>
  <si>
    <t>2004年度
決算</t>
    <phoneticPr fontId="2"/>
  </si>
  <si>
    <t>2003年度
決算</t>
    <phoneticPr fontId="2"/>
  </si>
  <si>
    <t>2002年度
決算</t>
    <phoneticPr fontId="2"/>
  </si>
  <si>
    <t>横浜市開港記念会館</t>
    <rPh sb="0" eb="3">
      <t>ヨコハマシ</t>
    </rPh>
    <rPh sb="3" eb="5">
      <t>カイコウ</t>
    </rPh>
    <rPh sb="5" eb="7">
      <t>キネン</t>
    </rPh>
    <rPh sb="7" eb="9">
      <t>カイカン</t>
    </rPh>
    <phoneticPr fontId="2"/>
  </si>
  <si>
    <t>2001年度
決算</t>
    <phoneticPr fontId="2"/>
  </si>
  <si>
    <t>2000年度
決算</t>
    <phoneticPr fontId="2"/>
  </si>
  <si>
    <t>1998年度
実績見込</t>
    <rPh sb="7" eb="9">
      <t>ジッセキ</t>
    </rPh>
    <rPh sb="9" eb="11">
      <t>ミコミ</t>
    </rPh>
    <phoneticPr fontId="2"/>
  </si>
  <si>
    <t>慶応義塾大学</t>
    <rPh sb="0" eb="2">
      <t>ケイオウ</t>
    </rPh>
    <rPh sb="2" eb="4">
      <t>ギジュク</t>
    </rPh>
    <rPh sb="4" eb="6">
      <t>ダイガク</t>
    </rPh>
    <phoneticPr fontId="2"/>
  </si>
  <si>
    <t>大阪大学</t>
    <rPh sb="0" eb="2">
      <t>オオサカ</t>
    </rPh>
    <rPh sb="2" eb="4">
      <t>ダイガク</t>
    </rPh>
    <phoneticPr fontId="2"/>
  </si>
  <si>
    <t>京都キャンパスプラザ</t>
    <rPh sb="0" eb="2">
      <t>キョウト</t>
    </rPh>
    <phoneticPr fontId="2"/>
  </si>
  <si>
    <t>明治大学</t>
    <rPh sb="0" eb="2">
      <t>メイジ</t>
    </rPh>
    <rPh sb="2" eb="4">
      <t>ダイガク</t>
    </rPh>
    <phoneticPr fontId="2"/>
  </si>
  <si>
    <t>帝塚山大学</t>
    <rPh sb="0" eb="3">
      <t>テヅカヤマ</t>
    </rPh>
    <rPh sb="3" eb="5">
      <t>ダイガク</t>
    </rPh>
    <phoneticPr fontId="2"/>
  </si>
  <si>
    <t>関西学院大学</t>
    <rPh sb="0" eb="6">
      <t>カンセイガクインダイガク</t>
    </rPh>
    <phoneticPr fontId="2"/>
  </si>
  <si>
    <t>朱鷺メッセ</t>
    <rPh sb="0" eb="2">
      <t>トキ</t>
    </rPh>
    <phoneticPr fontId="2"/>
  </si>
  <si>
    <t>大阪商業大学</t>
    <rPh sb="0" eb="2">
      <t>オオサカ</t>
    </rPh>
    <rPh sb="2" eb="4">
      <t>ショウギョウ</t>
    </rPh>
    <rPh sb="4" eb="6">
      <t>ダイガク</t>
    </rPh>
    <phoneticPr fontId="2"/>
  </si>
  <si>
    <t>中央大学</t>
    <rPh sb="0" eb="2">
      <t>チュウオウ</t>
    </rPh>
    <rPh sb="2" eb="4">
      <t>ダイガク</t>
    </rPh>
    <phoneticPr fontId="2"/>
  </si>
  <si>
    <t>立命館大学</t>
    <rPh sb="0" eb="5">
      <t>リツメイカンダイガク</t>
    </rPh>
    <phoneticPr fontId="2"/>
  </si>
  <si>
    <t>1999年度
決算</t>
    <phoneticPr fontId="2"/>
  </si>
  <si>
    <t>会員数</t>
    <rPh sb="0" eb="3">
      <t>カイインスウ</t>
    </rPh>
    <phoneticPr fontId="2"/>
  </si>
  <si>
    <t>600人規模</t>
    <rPh sb="3" eb="4">
      <t>ニン</t>
    </rPh>
    <rPh sb="4" eb="6">
      <t>キボ</t>
    </rPh>
    <phoneticPr fontId="2"/>
  </si>
  <si>
    <t>800人規模</t>
    <rPh sb="3" eb="4">
      <t>ニン</t>
    </rPh>
    <rPh sb="4" eb="6">
      <t>キボ</t>
    </rPh>
    <phoneticPr fontId="2"/>
  </si>
  <si>
    <t>1000人超</t>
    <rPh sb="4" eb="5">
      <t>ニン</t>
    </rPh>
    <rPh sb="5" eb="6">
      <t>チョウ</t>
    </rPh>
    <phoneticPr fontId="2"/>
  </si>
  <si>
    <t>1200人超</t>
    <rPh sb="4" eb="5">
      <t>ニン</t>
    </rPh>
    <rPh sb="5" eb="6">
      <t>チョウ</t>
    </rPh>
    <phoneticPr fontId="2"/>
  </si>
  <si>
    <t>1300人超</t>
    <rPh sb="4" eb="5">
      <t>ニン</t>
    </rPh>
    <rPh sb="5" eb="6">
      <t>チョウ</t>
    </rPh>
    <phoneticPr fontId="2"/>
  </si>
  <si>
    <t>NPR、創刊</t>
    <rPh sb="4" eb="6">
      <t>ソウカン</t>
    </rPh>
    <phoneticPr fontId="2"/>
  </si>
  <si>
    <t>NL、4号発行</t>
    <rPh sb="4" eb="5">
      <t>ゴウ</t>
    </rPh>
    <rPh sb="5" eb="7">
      <t>ハッコウ</t>
    </rPh>
    <phoneticPr fontId="2"/>
  </si>
  <si>
    <t>NL、3号発行</t>
    <rPh sb="4" eb="5">
      <t>ゴウ</t>
    </rPh>
    <rPh sb="5" eb="7">
      <t>ハッコウ</t>
    </rPh>
    <phoneticPr fontId="2"/>
  </si>
  <si>
    <t>NPR、2号発刊</t>
    <rPh sb="5" eb="6">
      <t>ゴウ</t>
    </rPh>
    <rPh sb="6" eb="8">
      <t>ハッカン</t>
    </rPh>
    <phoneticPr fontId="2"/>
  </si>
  <si>
    <t>NPR、1号発刊</t>
    <rPh sb="5" eb="6">
      <t>ゴウ</t>
    </rPh>
    <rPh sb="6" eb="8">
      <t>ハッカン</t>
    </rPh>
    <phoneticPr fontId="2"/>
  </si>
  <si>
    <t>NL、2号発行</t>
    <rPh sb="4" eb="5">
      <t>ゴウ</t>
    </rPh>
    <rPh sb="5" eb="7">
      <t>ハッコウ</t>
    </rPh>
    <phoneticPr fontId="2"/>
  </si>
  <si>
    <t>※新体制</t>
    <rPh sb="1" eb="4">
      <t>シンタイセイ</t>
    </rPh>
    <phoneticPr fontId="2"/>
  </si>
  <si>
    <t>ニュースレター</t>
    <phoneticPr fontId="2"/>
  </si>
  <si>
    <t>ノンプロフィット・レビュー</t>
    <phoneticPr fontId="2"/>
  </si>
  <si>
    <t>※事務局業務委託開始</t>
    <rPh sb="1" eb="4">
      <t>ジムキョク</t>
    </rPh>
    <rPh sb="4" eb="6">
      <t>ギョウム</t>
    </rPh>
    <rPh sb="6" eb="8">
      <t>イタク</t>
    </rPh>
    <rPh sb="8" eb="10">
      <t>カイシ</t>
    </rPh>
    <phoneticPr fontId="2"/>
  </si>
  <si>
    <t>※武田PJ、開始</t>
    <rPh sb="1" eb="3">
      <t>タケダ</t>
    </rPh>
    <rPh sb="6" eb="8">
      <t>カイシ</t>
    </rPh>
    <phoneticPr fontId="2"/>
  </si>
  <si>
    <t>※賛助会員、開始</t>
    <rPh sb="1" eb="3">
      <t>サンジョ</t>
    </rPh>
    <rPh sb="3" eb="5">
      <t>カイイン</t>
    </rPh>
    <rPh sb="6" eb="8">
      <t>カイシ</t>
    </rPh>
    <phoneticPr fontId="2"/>
  </si>
  <si>
    <t>※収支実績報告書の合計値では、2000円の不一致</t>
    <rPh sb="1" eb="3">
      <t>シュウシ</t>
    </rPh>
    <rPh sb="3" eb="5">
      <t>ジッセキ</t>
    </rPh>
    <rPh sb="5" eb="8">
      <t>ホウコクショ</t>
    </rPh>
    <rPh sb="9" eb="12">
      <t>ゴウケイチ</t>
    </rPh>
    <rPh sb="19" eb="20">
      <t>エン</t>
    </rPh>
    <rPh sb="21" eb="24">
      <t>フイッチ</t>
    </rPh>
    <phoneticPr fontId="2"/>
  </si>
  <si>
    <t>立教大学</t>
    <rPh sb="0" eb="2">
      <t>リッキョウ</t>
    </rPh>
    <rPh sb="2" eb="4">
      <t>ダイガク</t>
    </rPh>
    <phoneticPr fontId="2"/>
  </si>
  <si>
    <t>理事選挙関係</t>
    <rPh sb="0" eb="2">
      <t>リジ</t>
    </rPh>
    <rPh sb="2" eb="4">
      <t>センキョ</t>
    </rPh>
    <rPh sb="4" eb="6">
      <t>カンケイ</t>
    </rPh>
    <phoneticPr fontId="2"/>
  </si>
  <si>
    <t>2017年
7月末実績</t>
    <rPh sb="7" eb="8">
      <t>ガツ</t>
    </rPh>
    <rPh sb="8" eb="9">
      <t>スエ</t>
    </rPh>
    <rPh sb="9" eb="11">
      <t>ジッセキ</t>
    </rPh>
    <phoneticPr fontId="2"/>
  </si>
  <si>
    <t>2017年度
残期実績</t>
    <rPh sb="5" eb="6">
      <t>ド</t>
    </rPh>
    <rPh sb="7" eb="8">
      <t>ザン</t>
    </rPh>
    <rPh sb="8" eb="9">
      <t>キ</t>
    </rPh>
    <rPh sb="9" eb="11">
      <t>ジッセキ</t>
    </rPh>
    <phoneticPr fontId="2"/>
  </si>
  <si>
    <t>2018年度
残期予測</t>
    <rPh sb="5" eb="6">
      <t>ド</t>
    </rPh>
    <rPh sb="7" eb="8">
      <t>ザン</t>
    </rPh>
    <rPh sb="8" eb="9">
      <t>キ</t>
    </rPh>
    <rPh sb="9" eb="11">
      <t>ヨソク</t>
    </rPh>
    <phoneticPr fontId="2"/>
  </si>
  <si>
    <t>決算の備考</t>
    <rPh sb="0" eb="2">
      <t>ケッサン</t>
    </rPh>
    <rPh sb="3" eb="5">
      <t>ビコウ</t>
    </rPh>
    <phoneticPr fontId="2"/>
  </si>
  <si>
    <t>大会開催なし</t>
    <rPh sb="0" eb="2">
      <t>タイカイ</t>
    </rPh>
    <rPh sb="2" eb="4">
      <t>カイサイ</t>
    </rPh>
    <phoneticPr fontId="2"/>
  </si>
  <si>
    <t>Ａ</t>
    <phoneticPr fontId="2"/>
  </si>
  <si>
    <t>Ｂ</t>
    <phoneticPr fontId="2"/>
  </si>
  <si>
    <t>Ｄ</t>
    <phoneticPr fontId="2"/>
  </si>
  <si>
    <t>Ｇ</t>
    <phoneticPr fontId="2"/>
  </si>
  <si>
    <t>東京学芸大大会分</t>
    <rPh sb="0" eb="2">
      <t>トウキョウ</t>
    </rPh>
    <rPh sb="2" eb="5">
      <t>ガクゲイダイ</t>
    </rPh>
    <rPh sb="5" eb="7">
      <t>タイカイ</t>
    </rPh>
    <rPh sb="7" eb="8">
      <t>ブン</t>
    </rPh>
    <phoneticPr fontId="2"/>
  </si>
  <si>
    <t>2017年
9月末実績</t>
    <rPh sb="7" eb="8">
      <t>ガツ</t>
    </rPh>
    <rPh sb="8" eb="9">
      <t>スエ</t>
    </rPh>
    <rPh sb="9" eb="11">
      <t>ジッセキ</t>
    </rPh>
    <phoneticPr fontId="2"/>
  </si>
  <si>
    <t>2018年
9月末実績</t>
    <rPh sb="4" eb="5">
      <t>ネン</t>
    </rPh>
    <rPh sb="7" eb="8">
      <t>ガツ</t>
    </rPh>
    <rPh sb="8" eb="9">
      <t>マツ</t>
    </rPh>
    <rPh sb="9" eb="11">
      <t>ジッセキ</t>
    </rPh>
    <phoneticPr fontId="2"/>
  </si>
  <si>
    <t>2018年度
補正予算</t>
    <phoneticPr fontId="2"/>
  </si>
  <si>
    <t>Ｆ</t>
  </si>
  <si>
    <t>大会運営／実行委員会</t>
    <rPh sb="0" eb="2">
      <t>タイカイ</t>
    </rPh>
    <rPh sb="2" eb="4">
      <t>ウンエイ</t>
    </rPh>
    <rPh sb="5" eb="7">
      <t>ジッコウ</t>
    </rPh>
    <rPh sb="7" eb="10">
      <t>イインカイ</t>
    </rPh>
    <phoneticPr fontId="2"/>
  </si>
  <si>
    <t xml:space="preserve"> 年会費</t>
    <rPh sb="1" eb="4">
      <t>ネンカイヒ</t>
    </rPh>
    <phoneticPr fontId="2"/>
  </si>
  <si>
    <t>Ｂ</t>
  </si>
  <si>
    <t>2017年
10月末実績</t>
    <phoneticPr fontId="2"/>
  </si>
  <si>
    <t>2018年
10月末実績</t>
    <rPh sb="4" eb="5">
      <t>ネン</t>
    </rPh>
    <rPh sb="8" eb="9">
      <t>ガツ</t>
    </rPh>
    <rPh sb="9" eb="10">
      <t>マツ</t>
    </rPh>
    <rPh sb="10" eb="12">
      <t>ジッセキ</t>
    </rPh>
    <phoneticPr fontId="2"/>
  </si>
  <si>
    <t>30.5万増</t>
    <rPh sb="4" eb="5">
      <t>マン</t>
    </rPh>
    <rPh sb="5" eb="6">
      <t>ゾウ</t>
    </rPh>
    <phoneticPr fontId="2"/>
  </si>
  <si>
    <t>±0</t>
    <phoneticPr fontId="2"/>
  </si>
  <si>
    <t>日本女性学習財団 会議室使用料</t>
    <rPh sb="0" eb="2">
      <t>ニホン</t>
    </rPh>
    <rPh sb="2" eb="4">
      <t>ジョセイ</t>
    </rPh>
    <rPh sb="4" eb="6">
      <t>ガクシュウ</t>
    </rPh>
    <rPh sb="6" eb="8">
      <t>ザイダン</t>
    </rPh>
    <rPh sb="9" eb="12">
      <t>カイギシツ</t>
    </rPh>
    <rPh sb="12" eb="15">
      <t>シヨウリョウ</t>
    </rPh>
    <phoneticPr fontId="2"/>
  </si>
  <si>
    <t>2017年
11月末実績</t>
    <phoneticPr fontId="2"/>
  </si>
  <si>
    <t>2018年
11月末実績</t>
    <phoneticPr fontId="2"/>
  </si>
  <si>
    <t>10.5万増</t>
    <rPh sb="4" eb="5">
      <t>マン</t>
    </rPh>
    <rPh sb="5" eb="6">
      <t>ゾウ</t>
    </rPh>
    <phoneticPr fontId="2"/>
  </si>
  <si>
    <t>2017年
12月末実績</t>
    <phoneticPr fontId="2"/>
  </si>
  <si>
    <t>2018年
12月末実績</t>
    <phoneticPr fontId="2"/>
  </si>
  <si>
    <t>委員会</t>
    <rPh sb="0" eb="3">
      <t>イインカイ</t>
    </rPh>
    <phoneticPr fontId="2"/>
  </si>
  <si>
    <t>決算の備考</t>
  </si>
  <si>
    <t>8万円増</t>
    <rPh sb="1" eb="2">
      <t>マン</t>
    </rPh>
    <rPh sb="2" eb="3">
      <t>エン</t>
    </rPh>
    <rPh sb="3" eb="4">
      <t>ゾウ</t>
    </rPh>
    <phoneticPr fontId="2"/>
  </si>
  <si>
    <t>1万円増</t>
    <rPh sb="1" eb="2">
      <t>マン</t>
    </rPh>
    <rPh sb="2" eb="3">
      <t>エン</t>
    </rPh>
    <rPh sb="3" eb="4">
      <t>ゾウ</t>
    </rPh>
    <phoneticPr fontId="2"/>
  </si>
  <si>
    <t>5千円増</t>
    <rPh sb="1" eb="3">
      <t>センエン</t>
    </rPh>
    <rPh sb="3" eb="4">
      <t>ゾウ</t>
    </rPh>
    <phoneticPr fontId="2"/>
  </si>
  <si>
    <t>9万5千円増</t>
    <rPh sb="1" eb="2">
      <t>マン</t>
    </rPh>
    <rPh sb="3" eb="5">
      <t>センエン</t>
    </rPh>
    <rPh sb="5" eb="6">
      <t>ゾウ</t>
    </rPh>
    <phoneticPr fontId="2"/>
  </si>
  <si>
    <t xml:space="preserve"> その他会費</t>
    <rPh sb="3" eb="4">
      <t>タ</t>
    </rPh>
    <rPh sb="4" eb="6">
      <t>カイヒ</t>
    </rPh>
    <phoneticPr fontId="2"/>
  </si>
  <si>
    <t xml:space="preserve"> 助成金</t>
    <rPh sb="1" eb="4">
      <t>ジョセイキン</t>
    </rPh>
    <phoneticPr fontId="2"/>
  </si>
  <si>
    <t xml:space="preserve"> 寄付</t>
    <rPh sb="1" eb="3">
      <t>キフ</t>
    </rPh>
    <phoneticPr fontId="2"/>
  </si>
  <si>
    <t>懇親会収入</t>
    <rPh sb="0" eb="2">
      <t>コンシン</t>
    </rPh>
    <rPh sb="2" eb="3">
      <t>カイ</t>
    </rPh>
    <rPh sb="3" eb="5">
      <t>シュウニュウ</t>
    </rPh>
    <phoneticPr fontId="2"/>
  </si>
  <si>
    <t>参加費収入</t>
    <rPh sb="0" eb="3">
      <t>サンカヒ</t>
    </rPh>
    <rPh sb="3" eb="5">
      <t>シュウニュウ</t>
    </rPh>
    <phoneticPr fontId="2"/>
  </si>
  <si>
    <t>執行部／事務局引き継ぎ</t>
    <rPh sb="0" eb="2">
      <t>シッコウ</t>
    </rPh>
    <rPh sb="2" eb="3">
      <t>ブ</t>
    </rPh>
    <rPh sb="4" eb="7">
      <t>ジムキョク</t>
    </rPh>
    <rPh sb="7" eb="8">
      <t>ヒ</t>
    </rPh>
    <rPh sb="9" eb="10">
      <t>ツ</t>
    </rPh>
    <phoneticPr fontId="2"/>
  </si>
  <si>
    <t>近畿労金</t>
    <rPh sb="0" eb="2">
      <t>キンキ</t>
    </rPh>
    <rPh sb="2" eb="4">
      <t>ロウキン</t>
    </rPh>
    <phoneticPr fontId="2"/>
  </si>
  <si>
    <t>Ｆ</t>
    <phoneticPr fontId="2"/>
  </si>
  <si>
    <t>通信、査読…</t>
    <rPh sb="0" eb="2">
      <t>ツウシン</t>
    </rPh>
    <rPh sb="3" eb="5">
      <t>サドク</t>
    </rPh>
    <phoneticPr fontId="2"/>
  </si>
  <si>
    <t>NPR編集料2号分</t>
    <rPh sb="3" eb="5">
      <t>ヘンシュウ</t>
    </rPh>
    <rPh sb="5" eb="6">
      <t>リョウ</t>
    </rPh>
    <rPh sb="7" eb="8">
      <t>ゴウ</t>
    </rPh>
    <rPh sb="8" eb="9">
      <t>ブン</t>
    </rPh>
    <phoneticPr fontId="2"/>
  </si>
  <si>
    <t>2018年
1月末実績</t>
    <phoneticPr fontId="2"/>
  </si>
  <si>
    <t>2019年
1月末実績</t>
    <phoneticPr fontId="2"/>
  </si>
  <si>
    <t>共通事業費</t>
    <rPh sb="0" eb="2">
      <t>キョウツウ</t>
    </rPh>
    <rPh sb="2" eb="5">
      <t>ジギョウヒ</t>
    </rPh>
    <phoneticPr fontId="2"/>
  </si>
  <si>
    <t>共通・支払手数料</t>
    <rPh sb="0" eb="2">
      <t>キョウツウ</t>
    </rPh>
    <rPh sb="3" eb="5">
      <t>シハライ</t>
    </rPh>
    <rPh sb="5" eb="8">
      <t>テスウリョウ</t>
    </rPh>
    <phoneticPr fontId="2"/>
  </si>
  <si>
    <t>出版・手数料</t>
    <rPh sb="0" eb="2">
      <t>シュッパン</t>
    </rPh>
    <rPh sb="3" eb="6">
      <t>テスウリョウ</t>
    </rPh>
    <phoneticPr fontId="2"/>
  </si>
  <si>
    <t>大会（チラシ・ラベルなど）</t>
    <rPh sb="0" eb="2">
      <t>タイカイ</t>
    </rPh>
    <phoneticPr fontId="2"/>
  </si>
  <si>
    <t>大会・手数料</t>
    <rPh sb="0" eb="2">
      <t>タイカイ</t>
    </rPh>
    <rPh sb="3" eb="6">
      <t>テスウリョウ</t>
    </rPh>
    <phoneticPr fontId="2"/>
  </si>
  <si>
    <t>管理・印刷費</t>
    <rPh sb="0" eb="2">
      <t>カンリ</t>
    </rPh>
    <rPh sb="3" eb="5">
      <t>インサツ</t>
    </rPh>
    <rPh sb="5" eb="6">
      <t>ヒ</t>
    </rPh>
    <phoneticPr fontId="2"/>
  </si>
  <si>
    <t>共通・印刷費</t>
    <rPh sb="0" eb="2">
      <t>キョウツウ</t>
    </rPh>
    <rPh sb="3" eb="5">
      <t>インサツ</t>
    </rPh>
    <rPh sb="5" eb="6">
      <t>ヒ</t>
    </rPh>
    <phoneticPr fontId="2"/>
  </si>
  <si>
    <t>Ｄさん（封入・開封作業）</t>
    <rPh sb="4" eb="6">
      <t>フウニュウ</t>
    </rPh>
    <rPh sb="7" eb="9">
      <t>カイフウ</t>
    </rPh>
    <rPh sb="9" eb="11">
      <t>サギョウ</t>
    </rPh>
    <phoneticPr fontId="2"/>
  </si>
  <si>
    <t>2018年
2月末実績</t>
    <phoneticPr fontId="2"/>
  </si>
  <si>
    <t>2019年
2月末実績</t>
    <phoneticPr fontId="2"/>
  </si>
  <si>
    <t>2018年度
補正予算①</t>
    <phoneticPr fontId="2"/>
  </si>
  <si>
    <t xml:space="preserve"> 雑収入</t>
    <rPh sb="1" eb="4">
      <t>ザツシュウニュウ</t>
    </rPh>
    <phoneticPr fontId="2"/>
  </si>
  <si>
    <t xml:space="preserve"> 受取利息</t>
    <rPh sb="1" eb="3">
      <t>ウケトリ</t>
    </rPh>
    <rPh sb="3" eb="5">
      <t>リソク</t>
    </rPh>
    <phoneticPr fontId="2"/>
  </si>
  <si>
    <r>
      <t>2018年度
予算</t>
    </r>
    <r>
      <rPr>
        <b/>
        <sz val="10"/>
        <color theme="1"/>
        <rFont val="ＭＳ ゴシック"/>
        <family val="3"/>
        <charset val="128"/>
      </rPr>
      <t>(総会)</t>
    </r>
    <rPh sb="10" eb="12">
      <t>ソウカイ</t>
    </rPh>
    <phoneticPr fontId="2"/>
  </si>
  <si>
    <t>経常収益計</t>
    <rPh sb="0" eb="2">
      <t>ケイジョウ</t>
    </rPh>
    <rPh sb="2" eb="4">
      <t>シュウエキ</t>
    </rPh>
    <rPh sb="4" eb="5">
      <t>ケイ</t>
    </rPh>
    <phoneticPr fontId="2"/>
  </si>
  <si>
    <t>経常費用計</t>
    <rPh sb="0" eb="2">
      <t>ケイジョウ</t>
    </rPh>
    <rPh sb="2" eb="4">
      <t>ヒヨウ</t>
    </rPh>
    <rPh sb="4" eb="5">
      <t>ケイ</t>
    </rPh>
    <phoneticPr fontId="2"/>
  </si>
  <si>
    <t>１．事業費</t>
    <rPh sb="2" eb="5">
      <t>ジギョウヒ</t>
    </rPh>
    <phoneticPr fontId="2"/>
  </si>
  <si>
    <t>（１）人件費</t>
    <rPh sb="3" eb="6">
      <t>ジンケンヒ</t>
    </rPh>
    <phoneticPr fontId="2"/>
  </si>
  <si>
    <t>（２）その他経費</t>
    <rPh sb="5" eb="6">
      <t>タ</t>
    </rPh>
    <rPh sb="6" eb="8">
      <t>ケイヒ</t>
    </rPh>
    <phoneticPr fontId="2"/>
  </si>
  <si>
    <t>過年度分</t>
    <rPh sb="0" eb="3">
      <t>カネンド</t>
    </rPh>
    <rPh sb="3" eb="4">
      <t>ブン</t>
    </rPh>
    <phoneticPr fontId="2"/>
  </si>
  <si>
    <t>当年度分</t>
    <rPh sb="0" eb="3">
      <t>トウネンド</t>
    </rPh>
    <rPh sb="3" eb="4">
      <t>ブン</t>
    </rPh>
    <phoneticPr fontId="2"/>
  </si>
  <si>
    <t>正会員受取会費</t>
    <rPh sb="0" eb="3">
      <t>セイカイイン</t>
    </rPh>
    <rPh sb="3" eb="5">
      <t>ウケトリ</t>
    </rPh>
    <rPh sb="5" eb="7">
      <t>カイヒ</t>
    </rPh>
    <phoneticPr fontId="2"/>
  </si>
  <si>
    <t>学生会員受取会費</t>
    <rPh sb="0" eb="2">
      <t>ガクセイ</t>
    </rPh>
    <rPh sb="2" eb="4">
      <t>カイイン</t>
    </rPh>
    <rPh sb="4" eb="6">
      <t>ウケトリ</t>
    </rPh>
    <rPh sb="6" eb="8">
      <t>カイヒ</t>
    </rPh>
    <phoneticPr fontId="2"/>
  </si>
  <si>
    <t>賛助会員受取会費</t>
    <rPh sb="0" eb="2">
      <t>サンジョ</t>
    </rPh>
    <rPh sb="2" eb="4">
      <t>カイイン</t>
    </rPh>
    <rPh sb="4" eb="6">
      <t>ウケトリ</t>
    </rPh>
    <rPh sb="6" eb="8">
      <t>カイヒ</t>
    </rPh>
    <phoneticPr fontId="2"/>
  </si>
  <si>
    <t>１．受取会費</t>
    <rPh sb="2" eb="4">
      <t>ウケトリ</t>
    </rPh>
    <rPh sb="4" eb="6">
      <t>カイヒ</t>
    </rPh>
    <phoneticPr fontId="2"/>
  </si>
  <si>
    <t>２．受取助成金等</t>
    <rPh sb="2" eb="4">
      <t>ウケトリ</t>
    </rPh>
    <rPh sb="4" eb="7">
      <t>ジョセイキン</t>
    </rPh>
    <rPh sb="7" eb="8">
      <t>ナド</t>
    </rPh>
    <phoneticPr fontId="2"/>
  </si>
  <si>
    <t>３．事業収益</t>
    <rPh sb="2" eb="4">
      <t>ジギョウ</t>
    </rPh>
    <rPh sb="4" eb="6">
      <t>シュウエキ</t>
    </rPh>
    <phoneticPr fontId="2"/>
  </si>
  <si>
    <t xml:space="preserve"> セミナー・大会事業収益</t>
    <rPh sb="6" eb="8">
      <t>タイカイ</t>
    </rPh>
    <rPh sb="8" eb="10">
      <t>ジギョウ</t>
    </rPh>
    <rPh sb="10" eb="12">
      <t>シュウエキ</t>
    </rPh>
    <phoneticPr fontId="2"/>
  </si>
  <si>
    <t xml:space="preserve"> 出版事業収益</t>
    <rPh sb="1" eb="3">
      <t>シュッパン</t>
    </rPh>
    <rPh sb="3" eb="5">
      <t>ジギョウ</t>
    </rPh>
    <rPh sb="5" eb="7">
      <t>シュウエキ</t>
    </rPh>
    <phoneticPr fontId="2"/>
  </si>
  <si>
    <t>セミナー会費</t>
    <rPh sb="4" eb="6">
      <t>カイヒ</t>
    </rPh>
    <phoneticPr fontId="2"/>
  </si>
  <si>
    <t xml:space="preserve"> 経費負担金</t>
    <rPh sb="1" eb="3">
      <t>ケイヒ</t>
    </rPh>
    <rPh sb="3" eb="5">
      <t>フタン</t>
    </rPh>
    <rPh sb="5" eb="6">
      <t>キン</t>
    </rPh>
    <phoneticPr fontId="2"/>
  </si>
  <si>
    <t xml:space="preserve"> 会議費</t>
    <rPh sb="1" eb="4">
      <t>カイギヒ</t>
    </rPh>
    <phoneticPr fontId="2"/>
  </si>
  <si>
    <t xml:space="preserve"> 旅費交通費</t>
    <rPh sb="1" eb="3">
      <t>リョヒ</t>
    </rPh>
    <rPh sb="3" eb="6">
      <t>コウツウヒ</t>
    </rPh>
    <phoneticPr fontId="2"/>
  </si>
  <si>
    <t xml:space="preserve"> 通信運搬費</t>
    <rPh sb="1" eb="3">
      <t>ツウシン</t>
    </rPh>
    <rPh sb="3" eb="5">
      <t>ウンパン</t>
    </rPh>
    <rPh sb="5" eb="6">
      <t>ヒ</t>
    </rPh>
    <phoneticPr fontId="2"/>
  </si>
  <si>
    <t xml:space="preserve"> 学会誌発送費</t>
    <rPh sb="1" eb="4">
      <t>ガッカイシ</t>
    </rPh>
    <rPh sb="4" eb="6">
      <t>ハッソウ</t>
    </rPh>
    <rPh sb="6" eb="7">
      <t>ヒ</t>
    </rPh>
    <phoneticPr fontId="2"/>
  </si>
  <si>
    <t xml:space="preserve"> 学会誌印刷費</t>
    <rPh sb="1" eb="4">
      <t>ガッカイシ</t>
    </rPh>
    <rPh sb="4" eb="6">
      <t>インサツ</t>
    </rPh>
    <rPh sb="6" eb="7">
      <t>ヒ</t>
    </rPh>
    <phoneticPr fontId="2"/>
  </si>
  <si>
    <t xml:space="preserve"> 印刷製本費</t>
    <rPh sb="1" eb="3">
      <t>インサツ</t>
    </rPh>
    <rPh sb="3" eb="5">
      <t>セイホン</t>
    </rPh>
    <rPh sb="5" eb="6">
      <t>ヒ</t>
    </rPh>
    <phoneticPr fontId="2"/>
  </si>
  <si>
    <t xml:space="preserve"> 什器備品費</t>
    <rPh sb="1" eb="3">
      <t>ジュウキ</t>
    </rPh>
    <rPh sb="3" eb="5">
      <t>ビヒン</t>
    </rPh>
    <rPh sb="5" eb="6">
      <t>ヒ</t>
    </rPh>
    <phoneticPr fontId="2"/>
  </si>
  <si>
    <t xml:space="preserve"> 事務消耗品費</t>
    <rPh sb="1" eb="3">
      <t>ジム</t>
    </rPh>
    <rPh sb="3" eb="5">
      <t>ショウモウ</t>
    </rPh>
    <rPh sb="5" eb="6">
      <t>ヒン</t>
    </rPh>
    <rPh sb="6" eb="7">
      <t>ヒ</t>
    </rPh>
    <phoneticPr fontId="2"/>
  </si>
  <si>
    <t>その他謝金</t>
    <phoneticPr fontId="2"/>
  </si>
  <si>
    <t>大会概要集など</t>
    <rPh sb="0" eb="2">
      <t>タイカイ</t>
    </rPh>
    <rPh sb="2" eb="4">
      <t>ガイヨウ</t>
    </rPh>
    <rPh sb="4" eb="5">
      <t>シュウ</t>
    </rPh>
    <phoneticPr fontId="2"/>
  </si>
  <si>
    <t xml:space="preserve"> 委託費</t>
    <rPh sb="1" eb="3">
      <t>イタク</t>
    </rPh>
    <rPh sb="3" eb="4">
      <t>ヒ</t>
    </rPh>
    <phoneticPr fontId="2"/>
  </si>
  <si>
    <t xml:space="preserve"> 支払手数料</t>
    <rPh sb="1" eb="3">
      <t>シハライ</t>
    </rPh>
    <rPh sb="3" eb="6">
      <t>テスウリョウ</t>
    </rPh>
    <phoneticPr fontId="2"/>
  </si>
  <si>
    <t>共通事業</t>
    <rPh sb="0" eb="2">
      <t>キョウツウ</t>
    </rPh>
    <rPh sb="2" eb="4">
      <t>ジギョウ</t>
    </rPh>
    <phoneticPr fontId="2"/>
  </si>
  <si>
    <t>出版事業</t>
    <rPh sb="0" eb="2">
      <t>シュッパン</t>
    </rPh>
    <rPh sb="2" eb="4">
      <t>ジギョウ</t>
    </rPh>
    <phoneticPr fontId="2"/>
  </si>
  <si>
    <t xml:space="preserve"> 支払助成金（学術推進費）</t>
    <rPh sb="1" eb="3">
      <t>シハラ</t>
    </rPh>
    <rPh sb="3" eb="5">
      <t>ジョセイ</t>
    </rPh>
    <rPh sb="5" eb="6">
      <t>キン</t>
    </rPh>
    <rPh sb="7" eb="9">
      <t>ガクジュツ</t>
    </rPh>
    <rPh sb="9" eb="11">
      <t>スイシン</t>
    </rPh>
    <rPh sb="11" eb="12">
      <t>ヒ</t>
    </rPh>
    <phoneticPr fontId="2"/>
  </si>
  <si>
    <t xml:space="preserve"> その他（雑費）</t>
    <rPh sb="3" eb="4">
      <t>タ</t>
    </rPh>
    <rPh sb="5" eb="7">
      <t>ザッピ</t>
    </rPh>
    <phoneticPr fontId="2"/>
  </si>
  <si>
    <t>２．管理費</t>
    <rPh sb="2" eb="4">
      <t>カンリ</t>
    </rPh>
    <rPh sb="4" eb="5">
      <t>ヒ</t>
    </rPh>
    <phoneticPr fontId="2"/>
  </si>
  <si>
    <t>紙徳さん［業務委託費へ］</t>
    <rPh sb="0" eb="1">
      <t>カミ</t>
    </rPh>
    <rPh sb="1" eb="2">
      <t>トク</t>
    </rPh>
    <rPh sb="5" eb="7">
      <t>ギョウム</t>
    </rPh>
    <rPh sb="7" eb="9">
      <t>イタク</t>
    </rPh>
    <rPh sb="9" eb="10">
      <t>ヒ</t>
    </rPh>
    <phoneticPr fontId="2"/>
  </si>
  <si>
    <t>４．予備費</t>
    <rPh sb="2" eb="5">
      <t>ヨビヒ</t>
    </rPh>
    <phoneticPr fontId="2"/>
  </si>
  <si>
    <t>３．学会賞特別会計繰入</t>
    <rPh sb="2" eb="4">
      <t>ガッカイ</t>
    </rPh>
    <rPh sb="4" eb="5">
      <t>ショウ</t>
    </rPh>
    <rPh sb="5" eb="7">
      <t>トクベツ</t>
    </rPh>
    <rPh sb="7" eb="9">
      <t>カイケイ</t>
    </rPh>
    <rPh sb="9" eb="11">
      <t>クリイレ</t>
    </rPh>
    <phoneticPr fontId="2"/>
  </si>
  <si>
    <t>年次大会担当</t>
    <rPh sb="0" eb="2">
      <t>ネンジ</t>
    </rPh>
    <rPh sb="2" eb="4">
      <t>タイカイ</t>
    </rPh>
    <rPh sb="4" eb="6">
      <t>タントウ</t>
    </rPh>
    <phoneticPr fontId="2"/>
  </si>
  <si>
    <t>事務局補佐</t>
    <rPh sb="0" eb="3">
      <t>ジムキョク</t>
    </rPh>
    <rPh sb="3" eb="5">
      <t>ホサ</t>
    </rPh>
    <phoneticPr fontId="2"/>
  </si>
  <si>
    <t xml:space="preserve"> 雑給</t>
    <rPh sb="1" eb="3">
      <t>ザッキュウ</t>
    </rPh>
    <phoneticPr fontId="2"/>
  </si>
  <si>
    <t xml:space="preserve"> 諸謝金</t>
    <rPh sb="1" eb="4">
      <t>ショシャキン</t>
    </rPh>
    <phoneticPr fontId="2"/>
  </si>
  <si>
    <t>SE</t>
    <phoneticPr fontId="2"/>
  </si>
  <si>
    <t>経理システム検討</t>
    <rPh sb="0" eb="2">
      <t>ケイリ</t>
    </rPh>
    <rPh sb="6" eb="8">
      <t>ケントウ</t>
    </rPh>
    <phoneticPr fontId="2"/>
  </si>
  <si>
    <t>2018年
6月末実績</t>
    <rPh sb="4" eb="5">
      <t>ネン</t>
    </rPh>
    <rPh sb="7" eb="8">
      <t>ガツ</t>
    </rPh>
    <rPh sb="8" eb="9">
      <t>マツ</t>
    </rPh>
    <rPh sb="9" eb="11">
      <t>ジッセキ</t>
    </rPh>
    <phoneticPr fontId="2"/>
  </si>
  <si>
    <t>郵送費</t>
    <rPh sb="0" eb="3">
      <t>ユウソウヒ</t>
    </rPh>
    <phoneticPr fontId="2"/>
  </si>
  <si>
    <t>発送用ラベル作成費</t>
    <rPh sb="0" eb="3">
      <t>ハッソウヨウ</t>
    </rPh>
    <rPh sb="6" eb="8">
      <t>サクセイ</t>
    </rPh>
    <rPh sb="8" eb="9">
      <t>ヒ</t>
    </rPh>
    <phoneticPr fontId="2"/>
  </si>
  <si>
    <t>大会事務局</t>
    <rPh sb="0" eb="2">
      <t>タイカイ</t>
    </rPh>
    <rPh sb="2" eb="5">
      <t>ジムキョク</t>
    </rPh>
    <phoneticPr fontId="2"/>
  </si>
  <si>
    <t>2018年度
決算</t>
    <phoneticPr fontId="2"/>
  </si>
  <si>
    <t>Ａ</t>
  </si>
  <si>
    <t>2018年
7月末実績</t>
    <phoneticPr fontId="2"/>
  </si>
  <si>
    <t>2018年
8月末実績</t>
    <phoneticPr fontId="2"/>
  </si>
  <si>
    <t>事務局業務委託費</t>
    <rPh sb="0" eb="2">
      <t>ジム</t>
    </rPh>
    <rPh sb="2" eb="3">
      <t>キョク</t>
    </rPh>
    <rPh sb="3" eb="5">
      <t>ギョウム</t>
    </rPh>
    <rPh sb="5" eb="7">
      <t>イタク</t>
    </rPh>
    <rPh sb="7" eb="8">
      <t>ヒ</t>
    </rPh>
    <phoneticPr fontId="2"/>
  </si>
  <si>
    <t>次年度／次期繰越金</t>
    <rPh sb="0" eb="3">
      <t>ジネンド</t>
    </rPh>
    <rPh sb="4" eb="6">
      <t>ジキ</t>
    </rPh>
    <rPh sb="6" eb="8">
      <t>クリコシ</t>
    </rPh>
    <rPh sb="8" eb="9">
      <t>キン</t>
    </rPh>
    <phoneticPr fontId="2"/>
  </si>
  <si>
    <t>セミナー・研究会</t>
    <rPh sb="5" eb="8">
      <t>ケンキュウカイ</t>
    </rPh>
    <phoneticPr fontId="2"/>
  </si>
  <si>
    <t>セミナー・研究会謝金</t>
    <rPh sb="5" eb="8">
      <t>ケンキュウカイ</t>
    </rPh>
    <rPh sb="8" eb="10">
      <t>シャキン</t>
    </rPh>
    <phoneticPr fontId="2"/>
  </si>
  <si>
    <t>事業費に一本化</t>
    <rPh sb="0" eb="3">
      <t>ジギョウヒ</t>
    </rPh>
    <rPh sb="4" eb="7">
      <t>イッポンカ</t>
    </rPh>
    <phoneticPr fontId="2"/>
  </si>
  <si>
    <t>税理士委嘱</t>
    <rPh sb="0" eb="3">
      <t>ゼイリシ</t>
    </rPh>
    <rPh sb="3" eb="5">
      <t>イショク</t>
    </rPh>
    <phoneticPr fontId="2"/>
  </si>
  <si>
    <t>年次大会懇親会費</t>
    <rPh sb="0" eb="2">
      <t>ネンジ</t>
    </rPh>
    <rPh sb="2" eb="4">
      <t>タイカイ</t>
    </rPh>
    <rPh sb="4" eb="6">
      <t>コンシン</t>
    </rPh>
    <rPh sb="6" eb="8">
      <t>カイヒ</t>
    </rPh>
    <phoneticPr fontId="2"/>
  </si>
  <si>
    <t>理事会・委員会</t>
    <rPh sb="0" eb="3">
      <t>リジカイ</t>
    </rPh>
    <rPh sb="4" eb="7">
      <t>イインカイ</t>
    </rPh>
    <phoneticPr fontId="2"/>
  </si>
  <si>
    <t>－</t>
    <phoneticPr fontId="2"/>
  </si>
  <si>
    <t>2019年度
決算</t>
    <rPh sb="7" eb="9">
      <t>ケッサン</t>
    </rPh>
    <phoneticPr fontId="2"/>
  </si>
  <si>
    <t>理事選挙関係など</t>
    <rPh sb="0" eb="2">
      <t>リジ</t>
    </rPh>
    <rPh sb="2" eb="4">
      <t>センキョ</t>
    </rPh>
    <rPh sb="4" eb="6">
      <t>カンケイ</t>
    </rPh>
    <phoneticPr fontId="2"/>
  </si>
  <si>
    <t>事務局移転関係送料</t>
    <rPh sb="0" eb="3">
      <t>ジムキョク</t>
    </rPh>
    <rPh sb="3" eb="5">
      <t>イテン</t>
    </rPh>
    <rPh sb="5" eb="7">
      <t>カンケイ</t>
    </rPh>
    <rPh sb="7" eb="9">
      <t>ソウリョウ</t>
    </rPh>
    <phoneticPr fontId="2"/>
  </si>
  <si>
    <t>監査関係</t>
    <rPh sb="0" eb="2">
      <t>カンサ</t>
    </rPh>
    <rPh sb="2" eb="4">
      <t>カンケイ</t>
    </rPh>
    <phoneticPr fontId="2"/>
  </si>
  <si>
    <t>2020年度
予算</t>
    <phoneticPr fontId="2"/>
  </si>
  <si>
    <t>2020年度
決算状況
2021年2月末</t>
    <rPh sb="4" eb="5">
      <t>ネン</t>
    </rPh>
    <rPh sb="5" eb="6">
      <t>ド</t>
    </rPh>
    <rPh sb="7" eb="9">
      <t>ケッサン</t>
    </rPh>
    <rPh sb="9" eb="11">
      <t>ジョウキョウ</t>
    </rPh>
    <rPh sb="16" eb="17">
      <t>ネン</t>
    </rPh>
    <rPh sb="18" eb="19">
      <t>ガツ</t>
    </rPh>
    <rPh sb="19" eb="20">
      <t>マツ</t>
    </rPh>
    <phoneticPr fontId="2"/>
  </si>
  <si>
    <t>2021年度
暫定予算案</t>
    <rPh sb="4" eb="5">
      <t>ネン</t>
    </rPh>
    <rPh sb="5" eb="6">
      <t>ド</t>
    </rPh>
    <rPh sb="7" eb="9">
      <t>ザンテイ</t>
    </rPh>
    <rPh sb="9" eb="11">
      <t>ヨサン</t>
    </rPh>
    <rPh sb="11" eb="12">
      <t>アン</t>
    </rPh>
    <phoneticPr fontId="2"/>
  </si>
  <si>
    <t>研究大会担当</t>
    <rPh sb="0" eb="2">
      <t>ケンキュウ</t>
    </rPh>
    <rPh sb="2" eb="4">
      <t>タイカイ</t>
    </rPh>
    <rPh sb="4" eb="6">
      <t>タントウ</t>
    </rPh>
    <phoneticPr fontId="2"/>
  </si>
  <si>
    <r>
      <t>日本ＮＰＯ学会</t>
    </r>
    <r>
      <rPr>
        <b/>
        <sz val="12"/>
        <color theme="1"/>
        <rFont val="ＭＳ ゴシック"/>
        <family val="3"/>
        <charset val="128"/>
      </rPr>
      <t>（一般会計）</t>
    </r>
    <r>
      <rPr>
        <b/>
        <sz val="16"/>
        <color theme="1"/>
        <rFont val="ＭＳ ゴシック"/>
        <family val="3"/>
        <charset val="128"/>
      </rPr>
      <t>　2021年度予算（素案）</t>
    </r>
    <rPh sb="8" eb="10">
      <t>イッパン</t>
    </rPh>
    <rPh sb="10" eb="12">
      <t>カイケイ</t>
    </rPh>
    <rPh sb="23" eb="25">
      <t>ソアン</t>
    </rPh>
    <phoneticPr fontId="2"/>
  </si>
  <si>
    <t>会費請求・総会案内等</t>
    <rPh sb="0" eb="2">
      <t>カイヒ</t>
    </rPh>
    <rPh sb="2" eb="4">
      <t>セイキュウ</t>
    </rPh>
    <rPh sb="5" eb="7">
      <t>ソウカイ</t>
    </rPh>
    <rPh sb="7" eb="9">
      <t>アンナイ</t>
    </rPh>
    <rPh sb="9" eb="10">
      <t>トウ</t>
    </rPh>
    <phoneticPr fontId="2"/>
  </si>
  <si>
    <t>オンライン開催により参加費を割引</t>
    <rPh sb="5" eb="7">
      <t>カイサイ</t>
    </rPh>
    <rPh sb="10" eb="12">
      <t>サンカ</t>
    </rPh>
    <rPh sb="12" eb="13">
      <t>ヒ</t>
    </rPh>
    <rPh sb="14" eb="16">
      <t>ワリビキ</t>
    </rPh>
    <phoneticPr fontId="2"/>
  </si>
  <si>
    <t>前年度と比較して会費納入率は改善</t>
    <rPh sb="0" eb="3">
      <t>ゼンネンド</t>
    </rPh>
    <rPh sb="4" eb="6">
      <t>ヒカク</t>
    </rPh>
    <rPh sb="8" eb="10">
      <t>カイヒ</t>
    </rPh>
    <rPh sb="10" eb="12">
      <t>ノウニュウ</t>
    </rPh>
    <rPh sb="12" eb="13">
      <t>リツ</t>
    </rPh>
    <rPh sb="14" eb="16">
      <t>カイゼン</t>
    </rPh>
    <phoneticPr fontId="2"/>
  </si>
  <si>
    <t>シンポジスト謝金は駒澤大学ご負担</t>
    <rPh sb="6" eb="8">
      <t>シャキン</t>
    </rPh>
    <rPh sb="9" eb="11">
      <t>コマザワ</t>
    </rPh>
    <rPh sb="11" eb="13">
      <t>ダイガク</t>
    </rPh>
    <rPh sb="14" eb="16">
      <t>フタン</t>
    </rPh>
    <phoneticPr fontId="2"/>
  </si>
  <si>
    <t>(単位：円)</t>
    <rPh sb="1" eb="3">
      <t>タンイ</t>
    </rPh>
    <phoneticPr fontId="16"/>
  </si>
  <si>
    <t>科　　目</t>
  </si>
  <si>
    <t>Ⅰ 経常収益</t>
    <rPh sb="4" eb="6">
      <t>シュウエキ</t>
    </rPh>
    <phoneticPr fontId="16"/>
  </si>
  <si>
    <t>1.</t>
    <phoneticPr fontId="16"/>
  </si>
  <si>
    <t>2.</t>
    <phoneticPr fontId="16"/>
  </si>
  <si>
    <t>3.</t>
    <phoneticPr fontId="16"/>
  </si>
  <si>
    <t>事業収益</t>
    <rPh sb="0" eb="2">
      <t>ジギョウ</t>
    </rPh>
    <rPh sb="2" eb="4">
      <t>シュウエキ</t>
    </rPh>
    <phoneticPr fontId="16"/>
  </si>
  <si>
    <t>その他収益</t>
    <rPh sb="2" eb="3">
      <t>タ</t>
    </rPh>
    <rPh sb="3" eb="5">
      <t>シュウエキ</t>
    </rPh>
    <phoneticPr fontId="16"/>
  </si>
  <si>
    <t>　　経常収益計</t>
    <rPh sb="4" eb="6">
      <t>シュウエキ</t>
    </rPh>
    <phoneticPr fontId="16"/>
  </si>
  <si>
    <t>Ⅱ 経常費用</t>
    <rPh sb="4" eb="6">
      <t>ヒヨウ</t>
    </rPh>
    <phoneticPr fontId="16"/>
  </si>
  <si>
    <t>事業費</t>
    <phoneticPr fontId="16"/>
  </si>
  <si>
    <t>（1）人件費</t>
    <rPh sb="3" eb="6">
      <t>ジンケンヒ</t>
    </rPh>
    <phoneticPr fontId="16"/>
  </si>
  <si>
    <t>人件費計</t>
    <rPh sb="0" eb="3">
      <t>ジンケンヒ</t>
    </rPh>
    <rPh sb="3" eb="4">
      <t>ケイ</t>
    </rPh>
    <phoneticPr fontId="16"/>
  </si>
  <si>
    <t>（2）その他経費</t>
    <rPh sb="5" eb="6">
      <t>タ</t>
    </rPh>
    <rPh sb="6" eb="8">
      <t>ケイヒ</t>
    </rPh>
    <phoneticPr fontId="16"/>
  </si>
  <si>
    <t>その他経費計</t>
    <rPh sb="2" eb="3">
      <t>タ</t>
    </rPh>
    <rPh sb="3" eb="5">
      <t>ケイヒ</t>
    </rPh>
    <rPh sb="5" eb="6">
      <t>ケイ</t>
    </rPh>
    <phoneticPr fontId="16"/>
  </si>
  <si>
    <t>事業費計</t>
    <phoneticPr fontId="16"/>
  </si>
  <si>
    <t>管理費</t>
    <phoneticPr fontId="16"/>
  </si>
  <si>
    <t>管理費計</t>
    <rPh sb="0" eb="2">
      <t>カンリ</t>
    </rPh>
    <phoneticPr fontId="16"/>
  </si>
  <si>
    <t>　　経常費用計</t>
    <rPh sb="4" eb="6">
      <t>ヒヨウ</t>
    </rPh>
    <phoneticPr fontId="16"/>
  </si>
  <si>
    <t> 　　　</t>
    <phoneticPr fontId="16"/>
  </si>
  <si>
    <t>当期正味財産増減額</t>
    <phoneticPr fontId="16"/>
  </si>
  <si>
    <t>前期繰越正味財産額</t>
    <rPh sb="0" eb="2">
      <t>ゼンキ</t>
    </rPh>
    <rPh sb="2" eb="4">
      <t>クリコシ</t>
    </rPh>
    <rPh sb="4" eb="6">
      <t>ショウミ</t>
    </rPh>
    <phoneticPr fontId="16"/>
  </si>
  <si>
    <t> 　　</t>
    <phoneticPr fontId="16"/>
  </si>
  <si>
    <t>次期繰越正味財産額</t>
    <phoneticPr fontId="16"/>
  </si>
  <si>
    <r>
      <t>日本ＮＰＯ学会</t>
    </r>
    <r>
      <rPr>
        <b/>
        <sz val="12"/>
        <color theme="1"/>
        <rFont val="ＭＳ ゴシック"/>
        <family val="3"/>
        <charset val="128"/>
      </rPr>
      <t>（特別会計）</t>
    </r>
    <r>
      <rPr>
        <b/>
        <sz val="16"/>
        <color theme="1"/>
        <rFont val="ＭＳ ゴシック"/>
        <family val="3"/>
        <charset val="128"/>
      </rPr>
      <t>　2021年度予算（素案）</t>
    </r>
    <rPh sb="8" eb="10">
      <t>トクベツ</t>
    </rPh>
    <rPh sb="10" eb="12">
      <t>カイケイ</t>
    </rPh>
    <rPh sb="23" eb="25">
      <t>ソアン</t>
    </rPh>
    <phoneticPr fontId="2"/>
  </si>
  <si>
    <t>2020年度決算
（2021年2月末）</t>
    <rPh sb="4" eb="5">
      <t>ネン</t>
    </rPh>
    <rPh sb="5" eb="6">
      <t>ド</t>
    </rPh>
    <rPh sb="6" eb="8">
      <t>ケッサン</t>
    </rPh>
    <rPh sb="14" eb="15">
      <t>ネン</t>
    </rPh>
    <rPh sb="16" eb="17">
      <t>ガツ</t>
    </rPh>
    <rPh sb="17" eb="18">
      <t>マツ</t>
    </rPh>
    <phoneticPr fontId="16"/>
  </si>
  <si>
    <t>受取寄付金</t>
    <rPh sb="0" eb="2">
      <t>ウケトリ</t>
    </rPh>
    <rPh sb="2" eb="5">
      <t>キフキン</t>
    </rPh>
    <phoneticPr fontId="16"/>
  </si>
  <si>
    <t>受取利息</t>
    <phoneticPr fontId="16"/>
  </si>
  <si>
    <t>2019年度決算</t>
    <rPh sb="4" eb="6">
      <t>ネンド</t>
    </rPh>
    <rPh sb="6" eb="8">
      <t>ケッサン</t>
    </rPh>
    <phoneticPr fontId="16"/>
  </si>
  <si>
    <t>2020年度予算</t>
    <rPh sb="4" eb="6">
      <t>ネンド</t>
    </rPh>
    <rPh sb="6" eb="8">
      <t>ヨサン</t>
    </rPh>
    <phoneticPr fontId="16"/>
  </si>
  <si>
    <t>支払手数料</t>
    <rPh sb="0" eb="2">
      <t>シハライ</t>
    </rPh>
    <rPh sb="2" eb="5">
      <t>テスウリョウ</t>
    </rPh>
    <phoneticPr fontId="2"/>
  </si>
  <si>
    <t>備考</t>
    <rPh sb="0" eb="2">
      <t>ビコウ</t>
    </rPh>
    <phoneticPr fontId="2"/>
  </si>
  <si>
    <t>村田学術振興財団学会助成（第23回研究大会）</t>
    <phoneticPr fontId="2"/>
  </si>
  <si>
    <t>事務局職員保険料等</t>
    <rPh sb="0" eb="3">
      <t>ジムキョク</t>
    </rPh>
    <rPh sb="3" eb="5">
      <t>ショクイン</t>
    </rPh>
    <rPh sb="5" eb="8">
      <t>ホケンリョウ</t>
    </rPh>
    <rPh sb="8" eb="9">
      <t>トウ</t>
    </rPh>
    <phoneticPr fontId="2"/>
  </si>
  <si>
    <t>理事選挙作業室賃料</t>
    <rPh sb="0" eb="2">
      <t>リジ</t>
    </rPh>
    <rPh sb="2" eb="4">
      <t>センキョ</t>
    </rPh>
    <rPh sb="4" eb="7">
      <t>サギョウシツ</t>
    </rPh>
    <rPh sb="7" eb="9">
      <t>チンリョウ</t>
    </rPh>
    <phoneticPr fontId="2"/>
  </si>
  <si>
    <r>
      <t xml:space="preserve">前年差額
</t>
    </r>
    <r>
      <rPr>
        <b/>
        <sz val="8"/>
        <color theme="1"/>
        <rFont val="ＭＳ ゴシック"/>
        <family val="3"/>
        <charset val="128"/>
      </rPr>
      <t>(千円)</t>
    </r>
    <rPh sb="0" eb="2">
      <t>ゼンネン</t>
    </rPh>
    <rPh sb="2" eb="4">
      <t>サガク</t>
    </rPh>
    <rPh sb="6" eb="8">
      <t>センエン</t>
    </rPh>
    <phoneticPr fontId="2"/>
  </si>
  <si>
    <r>
      <t>４．その他収益</t>
    </r>
    <r>
      <rPr>
        <sz val="9"/>
        <color theme="1"/>
        <rFont val="ＭＳ ゴシック"/>
        <family val="3"/>
        <charset val="128"/>
      </rPr>
      <t>（受取利息）</t>
    </r>
    <rPh sb="4" eb="5">
      <t>タ</t>
    </rPh>
    <rPh sb="5" eb="7">
      <t>シュウエキ</t>
    </rPh>
    <rPh sb="8" eb="12">
      <t>ウケトリリソク</t>
    </rPh>
    <phoneticPr fontId="2"/>
  </si>
  <si>
    <r>
      <t>ゼウス</t>
    </r>
    <r>
      <rPr>
        <sz val="9"/>
        <color theme="1"/>
        <rFont val="ＭＳ ゴシック"/>
        <family val="3"/>
        <charset val="128"/>
      </rPr>
      <t>(クレジット決済システム)</t>
    </r>
    <rPh sb="9" eb="11">
      <t>ケッサイ</t>
    </rPh>
    <phoneticPr fontId="2"/>
  </si>
  <si>
    <t>日本NPO学会賞表彰関連費</t>
    <rPh sb="0" eb="2">
      <t>ニホン</t>
    </rPh>
    <rPh sb="5" eb="7">
      <t>ガッカイ</t>
    </rPh>
    <rPh sb="7" eb="8">
      <t>ショウ</t>
    </rPh>
    <rPh sb="8" eb="10">
      <t>ヒョウショウ</t>
    </rPh>
    <rPh sb="10" eb="12">
      <t>カンレン</t>
    </rPh>
    <rPh sb="12" eb="13">
      <t>ヒ</t>
    </rPh>
    <phoneticPr fontId="2"/>
  </si>
  <si>
    <t>日本NPO学会賞図書費</t>
    <rPh sb="0" eb="2">
      <t>ニホン</t>
    </rPh>
    <rPh sb="5" eb="7">
      <t>ガッカイ</t>
    </rPh>
    <rPh sb="7" eb="8">
      <t>ショウ</t>
    </rPh>
    <rPh sb="8" eb="10">
      <t>トショ</t>
    </rPh>
    <rPh sb="10" eb="11">
      <t>ヒ</t>
    </rPh>
    <phoneticPr fontId="2"/>
  </si>
  <si>
    <t>2021年度予算案</t>
    <rPh sb="4" eb="6">
      <t>ネンド</t>
    </rPh>
    <rPh sb="6" eb="8">
      <t>ヨサン</t>
    </rPh>
    <rPh sb="8" eb="9">
      <t>アン</t>
    </rPh>
    <phoneticPr fontId="16"/>
  </si>
  <si>
    <t>広報費（旧ニューズレター印刷費）</t>
    <rPh sb="0" eb="2">
      <t>コウホウ</t>
    </rPh>
    <rPh sb="2" eb="3">
      <t>ヒ</t>
    </rPh>
    <rPh sb="4" eb="5">
      <t>キュウ</t>
    </rPh>
    <rPh sb="12" eb="14">
      <t>インサツ</t>
    </rPh>
    <rPh sb="14" eb="15">
      <t>ヒ</t>
    </rPh>
    <phoneticPr fontId="2"/>
  </si>
  <si>
    <t>委員会・理事選挙事務局等謝金</t>
    <rPh sb="0" eb="3">
      <t>イインカイ</t>
    </rPh>
    <rPh sb="4" eb="6">
      <t>リジ</t>
    </rPh>
    <rPh sb="6" eb="8">
      <t>センキョ</t>
    </rPh>
    <rPh sb="8" eb="10">
      <t>ジム</t>
    </rPh>
    <rPh sb="10" eb="11">
      <t>キョク</t>
    </rPh>
    <rPh sb="11" eb="12">
      <t>トウ</t>
    </rPh>
    <rPh sb="12" eb="14">
      <t>シャキン</t>
    </rPh>
    <phoneticPr fontId="2"/>
  </si>
  <si>
    <t>管理費へ移行</t>
    <rPh sb="0" eb="3">
      <t>カンリヒ</t>
    </rPh>
    <rPh sb="4" eb="6">
      <t>イコウ</t>
    </rPh>
    <phoneticPr fontId="2"/>
  </si>
  <si>
    <t>学会事務局担当</t>
    <rPh sb="0" eb="2">
      <t>ガッカイ</t>
    </rPh>
    <rPh sb="2" eb="5">
      <t>ジムキョク</t>
    </rPh>
    <rPh sb="5" eb="7">
      <t>タントウ</t>
    </rPh>
    <phoneticPr fontId="2"/>
  </si>
  <si>
    <t>オンライン参加を想定</t>
    <rPh sb="5" eb="7">
      <t>サンカ</t>
    </rPh>
    <rPh sb="8" eb="10">
      <t>ソウテイ</t>
    </rPh>
    <phoneticPr fontId="2"/>
  </si>
  <si>
    <t>B</t>
    <phoneticPr fontId="2"/>
  </si>
  <si>
    <t>A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</si>
  <si>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</si>
  <si>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</si>
  <si>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</si>
  <si>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</si>
  <si>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G</t>
    <phoneticPr fontId="2"/>
  </si>
  <si>
    <t>第22回年次大会のZoom契約料</t>
    <rPh sb="0" eb="1">
      <t>ダイ</t>
    </rPh>
    <rPh sb="3" eb="4">
      <t>カイ</t>
    </rPh>
    <rPh sb="4" eb="6">
      <t>ネンジ</t>
    </rPh>
    <rPh sb="6" eb="8">
      <t>タイカイ</t>
    </rPh>
    <rPh sb="13" eb="15">
      <t>ケイヤク</t>
    </rPh>
    <rPh sb="15" eb="16">
      <t>リョウ</t>
    </rPh>
    <phoneticPr fontId="2"/>
  </si>
  <si>
    <t>大会Zoom契約、理事会・委員会Zoom契約</t>
    <rPh sb="0" eb="2">
      <t>タイカイ</t>
    </rPh>
    <rPh sb="6" eb="8">
      <t>ケイヤク</t>
    </rPh>
    <rPh sb="9" eb="12">
      <t>リジカイ</t>
    </rPh>
    <rPh sb="13" eb="16">
      <t>イインカイ</t>
    </rPh>
    <rPh sb="20" eb="22">
      <t>ケイヤク</t>
    </rPh>
    <phoneticPr fontId="2"/>
  </si>
  <si>
    <t>パンフレット・ロゴ・WEBデザイン等</t>
    <rPh sb="17" eb="18">
      <t>トウ</t>
    </rPh>
    <phoneticPr fontId="2"/>
  </si>
  <si>
    <t>廃止</t>
    <rPh sb="0" eb="2">
      <t>ハイシ</t>
    </rPh>
    <phoneticPr fontId="2"/>
  </si>
  <si>
    <t>対面の場合も想定</t>
    <rPh sb="0" eb="2">
      <t>タイメン</t>
    </rPh>
    <rPh sb="3" eb="5">
      <t>バアイ</t>
    </rPh>
    <rPh sb="6" eb="8">
      <t>ソウテイ</t>
    </rPh>
    <phoneticPr fontId="2"/>
  </si>
  <si>
    <t>大会運営スタッフ謝金</t>
    <rPh sb="0" eb="2">
      <t>タイカイ</t>
    </rPh>
    <rPh sb="2" eb="4">
      <t>ウンエイ</t>
    </rPh>
    <rPh sb="8" eb="10">
      <t>シャキン</t>
    </rPh>
    <phoneticPr fontId="2"/>
  </si>
  <si>
    <t>委員会や選管での事務局謝金に対応</t>
    <rPh sb="0" eb="3">
      <t>イインカイ</t>
    </rPh>
    <rPh sb="4" eb="6">
      <t>センカン</t>
    </rPh>
    <rPh sb="8" eb="11">
      <t>ジムキョク</t>
    </rPh>
    <rPh sb="11" eb="13">
      <t>シャキン</t>
    </rPh>
    <rPh sb="14" eb="16">
      <t>タイオウ</t>
    </rPh>
    <phoneticPr fontId="2"/>
  </si>
  <si>
    <t>大会公開シンポ・企画等</t>
    <rPh sb="0" eb="2">
      <t>タイカイ</t>
    </rPh>
    <rPh sb="2" eb="4">
      <t>コウカイ</t>
    </rPh>
    <rPh sb="8" eb="10">
      <t>キカク</t>
    </rPh>
    <rPh sb="10" eb="11">
      <t>トウ</t>
    </rPh>
    <phoneticPr fontId="2"/>
  </si>
  <si>
    <t>大会企画、エクスカーション等も含む</t>
    <rPh sb="0" eb="2">
      <t>タイカイ</t>
    </rPh>
    <rPh sb="2" eb="4">
      <t>キカク</t>
    </rPh>
    <rPh sb="13" eb="14">
      <t>トウ</t>
    </rPh>
    <rPh sb="15" eb="16">
      <t>フク</t>
    </rPh>
    <phoneticPr fontId="2"/>
  </si>
  <si>
    <t>2021年3月末で現職員退職、以後、業務外注を検討</t>
    <rPh sb="4" eb="5">
      <t>ネン</t>
    </rPh>
    <rPh sb="6" eb="7">
      <t>ガツ</t>
    </rPh>
    <rPh sb="7" eb="8">
      <t>マツ</t>
    </rPh>
    <rPh sb="9" eb="12">
      <t>ゲンショクイン</t>
    </rPh>
    <rPh sb="12" eb="14">
      <t>タイショク</t>
    </rPh>
    <rPh sb="15" eb="17">
      <t>イゴ</t>
    </rPh>
    <rPh sb="18" eb="20">
      <t>ギョウム</t>
    </rPh>
    <rPh sb="20" eb="22">
      <t>ガイチュウ</t>
    </rPh>
    <rPh sb="23" eb="25">
      <t>ケントウ</t>
    </rPh>
    <phoneticPr fontId="2"/>
  </si>
  <si>
    <t>対面の場合を想定</t>
    <rPh sb="0" eb="2">
      <t>タイメン</t>
    </rPh>
    <rPh sb="3" eb="5">
      <t>バアイ</t>
    </rPh>
    <phoneticPr fontId="2"/>
  </si>
  <si>
    <t>選挙投票はがき等</t>
    <rPh sb="0" eb="2">
      <t>センキョ</t>
    </rPh>
    <rPh sb="2" eb="4">
      <t>トウヒョウ</t>
    </rPh>
    <rPh sb="7" eb="8">
      <t>トウ</t>
    </rPh>
    <phoneticPr fontId="2"/>
  </si>
  <si>
    <t>選挙投票はがき等</t>
    <phoneticPr fontId="2"/>
  </si>
  <si>
    <t>コロナ対応</t>
    <rPh sb="3" eb="5">
      <t>タイオウ</t>
    </rPh>
    <phoneticPr fontId="2"/>
  </si>
  <si>
    <t>学会支援機構委託分</t>
    <rPh sb="0" eb="2">
      <t>ガッカイ</t>
    </rPh>
    <rPh sb="2" eb="4">
      <t>シエン</t>
    </rPh>
    <rPh sb="4" eb="6">
      <t>キコウ</t>
    </rPh>
    <rPh sb="6" eb="8">
      <t>イタク</t>
    </rPh>
    <rPh sb="8" eb="9">
      <t>ブン</t>
    </rPh>
    <phoneticPr fontId="2"/>
  </si>
  <si>
    <t>賛助会員会費は一口5万に</t>
    <rPh sb="0" eb="2">
      <t>サンジョ</t>
    </rPh>
    <rPh sb="2" eb="4">
      <t>カイイン</t>
    </rPh>
    <rPh sb="4" eb="6">
      <t>カイヒ</t>
    </rPh>
    <rPh sb="7" eb="9">
      <t>ヒトクチ</t>
    </rPh>
    <rPh sb="10" eb="11">
      <t>マン</t>
    </rPh>
    <phoneticPr fontId="2"/>
  </si>
  <si>
    <t>スタディグループ助成金</t>
    <rPh sb="8" eb="11">
      <t>ジョセイキン</t>
    </rPh>
    <phoneticPr fontId="2"/>
  </si>
  <si>
    <t>若手研究者学会参加費支援</t>
    <rPh sb="0" eb="2">
      <t>ワカテ</t>
    </rPh>
    <rPh sb="2" eb="5">
      <t>ケンキュウシャ</t>
    </rPh>
    <rPh sb="5" eb="7">
      <t>ガッカイ</t>
    </rPh>
    <rPh sb="7" eb="9">
      <t>サンカ</t>
    </rPh>
    <rPh sb="9" eb="10">
      <t>ヒ</t>
    </rPh>
    <rPh sb="10" eb="12">
      <t>シエン</t>
    </rPh>
    <phoneticPr fontId="2"/>
  </si>
  <si>
    <t>スタディグループ助成金休止</t>
    <rPh sb="8" eb="11">
      <t>ジョセイキン</t>
    </rPh>
    <rPh sb="11" eb="13">
      <t>キュウシ</t>
    </rPh>
    <phoneticPr fontId="2"/>
  </si>
  <si>
    <t>(単位：円)</t>
    <phoneticPr fontId="2"/>
  </si>
  <si>
    <t>2021年3月末で現職員退職、以後、業務外注を検討</t>
    <rPh sb="4" eb="5">
      <t>ネン</t>
    </rPh>
    <rPh sb="6" eb="7">
      <t>ガツ</t>
    </rPh>
    <rPh sb="7" eb="8">
      <t>マツ</t>
    </rPh>
    <rPh sb="9" eb="12">
      <t>ゲンショクイン</t>
    </rPh>
    <rPh sb="12" eb="14">
      <t>タイショク</t>
    </rPh>
    <phoneticPr fontId="2"/>
  </si>
  <si>
    <t>制度化後に実施を予定</t>
    <rPh sb="0" eb="3">
      <t>セイドカ</t>
    </rPh>
    <rPh sb="3" eb="4">
      <t>ゴ</t>
    </rPh>
    <rPh sb="5" eb="7">
      <t>ジッシ</t>
    </rPh>
    <rPh sb="8" eb="10">
      <t>ヨテイ</t>
    </rPh>
    <phoneticPr fontId="2"/>
  </si>
  <si>
    <t>Vol.20(1)のみ発行</t>
    <rPh sb="11" eb="13">
      <t>ハッコウ</t>
    </rPh>
    <phoneticPr fontId="2"/>
  </si>
  <si>
    <t>Vol.20(2)およびVol.21(1・2)を想定</t>
    <rPh sb="24" eb="26">
      <t>ソウテイ</t>
    </rPh>
    <phoneticPr fontId="2"/>
  </si>
  <si>
    <t>Vol.20(2)およびVol.21(1・2)を想定</t>
    <phoneticPr fontId="2"/>
  </si>
  <si>
    <t>事務局会計業務を委託した場合（追加60万程度）</t>
    <rPh sb="0" eb="3">
      <t>ジムキョク</t>
    </rPh>
    <rPh sb="3" eb="5">
      <t>カイケイ</t>
    </rPh>
    <rPh sb="5" eb="7">
      <t>ギョウム</t>
    </rPh>
    <rPh sb="8" eb="10">
      <t>イタク</t>
    </rPh>
    <rPh sb="12" eb="14">
      <t>バアイ</t>
    </rPh>
    <rPh sb="15" eb="17">
      <t>ツイカ</t>
    </rPh>
    <rPh sb="19" eb="20">
      <t>マン</t>
    </rPh>
    <rPh sb="20" eb="22">
      <t>テイド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</si>
</sst>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 * #,##0_ ;_ * \-#,##0_ ;_ * &quot;-&quot;_ ;_ @_ "/>
    <numFmt numFmtId="176" formatCode="#,##0_);\(#,##0\)"/>
    <numFmt numFmtId="177" formatCode="yyyy&quot;年&quot;m&quot;月&quot;;@"/>
    <numFmt numFmtId="178" formatCode="#,##0,"/>
    <numFmt numFmtId="179" formatCode="#,##0;&quot;△ &quot;#,##0"/>
    <numFmt numFmtId="180" formatCode="0_);[Red]\(0\)"/>
  </numFmts>
  <fonts count="2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8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i/>
      <sz val="10"/>
      <color theme="1"/>
      <name val="ＭＳ ゴシック"/>
      <family val="3"/>
      <charset val="128"/>
    </font>
    <font>
      <sz val="8"/>
      <name val="ＭＳ ゴシック"/>
      <family val="3"/>
      <charset val="128"/>
    </font>
    <font>
      <sz val="8"/>
      <color theme="1"/>
      <name val="ＭＳ 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</fills>
  <borders count="2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double">
        <color indexed="64"/>
      </left>
      <right style="thin">
        <color indexed="64"/>
      </right>
      <top style="dashed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ash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ashed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ashed">
        <color indexed="64"/>
      </top>
      <bottom/>
      <diagonal/>
    </border>
    <border>
      <left style="dotted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uble">
        <color indexed="64"/>
      </right>
      <top style="dotted">
        <color indexed="64"/>
      </top>
      <bottom style="dashed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dashed">
        <color indexed="64"/>
      </top>
      <bottom style="dotted">
        <color indexed="64"/>
      </bottom>
      <diagonal/>
    </border>
    <border>
      <left/>
      <right style="medium">
        <color auto="1"/>
      </right>
      <top style="dotted">
        <color indexed="64"/>
      </top>
      <bottom style="dashed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 style="dashed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auto="1"/>
      </right>
      <top style="medium">
        <color indexed="64"/>
      </top>
      <bottom/>
      <diagonal/>
    </border>
    <border>
      <left style="thin">
        <color indexed="64"/>
      </left>
      <right style="dashed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auto="1"/>
      </right>
      <top style="thin">
        <color indexed="64"/>
      </top>
      <bottom/>
      <diagonal/>
    </border>
    <border>
      <left style="thin">
        <color indexed="64"/>
      </left>
      <right style="dashed">
        <color auto="1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ashed">
        <color auto="1"/>
      </right>
      <top/>
      <bottom/>
      <diagonal/>
    </border>
    <border>
      <left style="thin">
        <color indexed="64"/>
      </left>
      <right style="dashed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auto="1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auto="1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auto="1"/>
      </right>
      <top/>
      <bottom style="dashed">
        <color indexed="64"/>
      </bottom>
      <diagonal/>
    </border>
    <border>
      <left style="thin">
        <color indexed="64"/>
      </left>
      <right style="dashed">
        <color auto="1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 style="medium">
        <color indexed="64"/>
      </right>
      <top style="dotted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auto="1"/>
      </top>
      <bottom/>
      <diagonal/>
    </border>
    <border>
      <left style="thin">
        <color indexed="64"/>
      </left>
      <right style="dashed">
        <color auto="1"/>
      </right>
      <top/>
      <bottom style="thin">
        <color indexed="64"/>
      </bottom>
      <diagonal/>
    </border>
    <border>
      <left style="dashed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ashed">
        <color indexed="64"/>
      </right>
      <top/>
      <bottom style="thin">
        <color indexed="64"/>
      </bottom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thin">
        <color indexed="64"/>
      </left>
      <right style="dashed">
        <color auto="1"/>
      </right>
      <top style="dotted">
        <color indexed="64"/>
      </top>
      <bottom style="dashed">
        <color indexed="64"/>
      </bottom>
      <diagonal/>
    </border>
    <border>
      <left/>
      <right style="thin">
        <color auto="1"/>
      </right>
      <top style="dashed">
        <color indexed="64"/>
      </top>
      <bottom style="dotted">
        <color indexed="64"/>
      </bottom>
      <diagonal/>
    </border>
    <border>
      <left/>
      <right style="thin">
        <color auto="1"/>
      </right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ashed">
        <color auto="1"/>
      </right>
      <top style="dotted">
        <color auto="1"/>
      </top>
      <bottom/>
      <diagonal/>
    </border>
    <border>
      <left style="dotted">
        <color indexed="64"/>
      </left>
      <right style="double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dotted">
        <color indexed="64"/>
      </left>
      <right style="double">
        <color indexed="64"/>
      </right>
      <top style="dash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 style="dashed">
        <color auto="1"/>
      </right>
      <top style="dashed">
        <color indexed="64"/>
      </top>
      <bottom style="dotted">
        <color indexed="64"/>
      </bottom>
      <diagonal/>
    </border>
    <border>
      <left style="dashed">
        <color indexed="64"/>
      </left>
      <right style="double">
        <color indexed="64"/>
      </right>
      <top style="dashed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 style="dashed">
        <color indexed="64"/>
      </bottom>
      <diagonal/>
    </border>
    <border>
      <left style="dashed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/>
      <top style="thin">
        <color indexed="8"/>
      </top>
      <bottom style="thin">
        <color indexed="9"/>
      </bottom>
      <diagonal/>
    </border>
    <border>
      <left/>
      <right/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8"/>
      </left>
      <right/>
      <top/>
      <bottom style="thin">
        <color indexed="9"/>
      </bottom>
      <diagonal/>
    </border>
    <border>
      <left/>
      <right style="thin">
        <color indexed="8"/>
      </right>
      <top/>
      <bottom style="thin">
        <color indexed="9"/>
      </bottom>
      <diagonal/>
    </border>
    <border>
      <left style="thin">
        <color indexed="8"/>
      </left>
      <right/>
      <top style="thin">
        <color indexed="9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64"/>
      </bottom>
      <diagonal/>
    </border>
    <border>
      <left/>
      <right style="thin">
        <color indexed="8"/>
      </right>
      <top style="thin">
        <color indexed="9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9"/>
      </top>
      <bottom/>
      <diagonal/>
    </border>
    <border>
      <left/>
      <right style="thin">
        <color indexed="8"/>
      </right>
      <top style="thin">
        <color indexed="9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9"/>
      </left>
      <right/>
      <top style="thin">
        <color indexed="8"/>
      </top>
      <bottom style="thin">
        <color indexed="9"/>
      </bottom>
      <diagonal/>
    </border>
    <border>
      <left/>
      <right style="thin">
        <color indexed="8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/>
      <top/>
      <bottom style="thin">
        <color indexed="8"/>
      </bottom>
      <diagonal/>
    </border>
    <border>
      <left/>
      <right style="thin">
        <color indexed="9"/>
      </right>
      <top/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05">
    <xf numFmtId="0" fontId="0" fillId="0" borderId="0" xfId="0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vertical="center"/>
    </xf>
    <xf numFmtId="38" fontId="3" fillId="0" borderId="0" xfId="1" applyFont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8" xfId="0" applyFont="1" applyFill="1" applyBorder="1" applyAlignment="1">
      <alignment vertical="center"/>
    </xf>
    <xf numFmtId="0" fontId="3" fillId="0" borderId="39" xfId="0" applyFont="1" applyBorder="1" applyAlignment="1">
      <alignment vertical="center"/>
    </xf>
    <xf numFmtId="0" fontId="4" fillId="0" borderId="43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3" fontId="4" fillId="3" borderId="44" xfId="0" applyNumberFormat="1" applyFont="1" applyFill="1" applyBorder="1" applyAlignment="1">
      <alignment horizontal="right" vertical="center"/>
    </xf>
    <xf numFmtId="3" fontId="4" fillId="3" borderId="26" xfId="0" applyNumberFormat="1" applyFont="1" applyFill="1" applyBorder="1" applyAlignment="1">
      <alignment horizontal="right" vertical="center"/>
    </xf>
    <xf numFmtId="3" fontId="4" fillId="3" borderId="45" xfId="0" applyNumberFormat="1" applyFont="1" applyFill="1" applyBorder="1" applyAlignment="1">
      <alignment horizontal="right" vertical="center"/>
    </xf>
    <xf numFmtId="3" fontId="4" fillId="2" borderId="46" xfId="0" applyNumberFormat="1" applyFont="1" applyFill="1" applyBorder="1" applyAlignment="1">
      <alignment vertical="center"/>
    </xf>
    <xf numFmtId="3" fontId="4" fillId="2" borderId="28" xfId="0" applyNumberFormat="1" applyFont="1" applyFill="1" applyBorder="1" applyAlignment="1">
      <alignment vertical="center"/>
    </xf>
    <xf numFmtId="3" fontId="4" fillId="2" borderId="5" xfId="0" applyNumberFormat="1" applyFont="1" applyFill="1" applyBorder="1" applyAlignment="1">
      <alignment horizontal="right" vertical="center"/>
    </xf>
    <xf numFmtId="3" fontId="3" fillId="0" borderId="47" xfId="0" applyNumberFormat="1" applyFont="1" applyBorder="1" applyAlignment="1">
      <alignment vertical="center"/>
    </xf>
    <xf numFmtId="3" fontId="3" fillId="0" borderId="29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horizontal="right" vertical="center"/>
    </xf>
    <xf numFmtId="3" fontId="4" fillId="2" borderId="47" xfId="0" applyNumberFormat="1" applyFont="1" applyFill="1" applyBorder="1" applyAlignment="1">
      <alignment vertical="center"/>
    </xf>
    <xf numFmtId="3" fontId="4" fillId="2" borderId="29" xfId="0" applyNumberFormat="1" applyFont="1" applyFill="1" applyBorder="1" applyAlignment="1">
      <alignment vertical="center"/>
    </xf>
    <xf numFmtId="3" fontId="4" fillId="2" borderId="6" xfId="0" applyNumberFormat="1" applyFont="1" applyFill="1" applyBorder="1" applyAlignment="1">
      <alignment horizontal="right" vertical="center"/>
    </xf>
    <xf numFmtId="3" fontId="3" fillId="0" borderId="48" xfId="0" applyNumberFormat="1" applyFont="1" applyBorder="1" applyAlignment="1">
      <alignment vertical="center"/>
    </xf>
    <xf numFmtId="3" fontId="3" fillId="0" borderId="30" xfId="0" applyNumberFormat="1" applyFon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/>
    </xf>
    <xf numFmtId="3" fontId="3" fillId="0" borderId="49" xfId="0" applyNumberFormat="1" applyFont="1" applyBorder="1" applyAlignment="1">
      <alignment vertical="center"/>
    </xf>
    <xf numFmtId="3" fontId="3" fillId="0" borderId="31" xfId="0" applyNumberFormat="1" applyFont="1" applyBorder="1" applyAlignment="1">
      <alignment vertical="center"/>
    </xf>
    <xf numFmtId="3" fontId="3" fillId="0" borderId="40" xfId="0" applyNumberFormat="1" applyFont="1" applyBorder="1" applyAlignment="1">
      <alignment horizontal="right" vertical="center"/>
    </xf>
    <xf numFmtId="3" fontId="3" fillId="0" borderId="51" xfId="0" applyNumberFormat="1" applyFont="1" applyBorder="1" applyAlignment="1">
      <alignment vertical="center"/>
    </xf>
    <xf numFmtId="3" fontId="3" fillId="0" borderId="37" xfId="0" applyNumberFormat="1" applyFont="1" applyBorder="1" applyAlignment="1">
      <alignment vertical="center"/>
    </xf>
    <xf numFmtId="3" fontId="3" fillId="0" borderId="41" xfId="0" applyNumberFormat="1" applyFont="1" applyBorder="1" applyAlignment="1">
      <alignment horizontal="right" vertical="center"/>
    </xf>
    <xf numFmtId="3" fontId="4" fillId="2" borderId="40" xfId="0" applyNumberFormat="1" applyFont="1" applyFill="1" applyBorder="1" applyAlignment="1">
      <alignment horizontal="right" vertical="center"/>
    </xf>
    <xf numFmtId="3" fontId="3" fillId="0" borderId="47" xfId="0" applyNumberFormat="1" applyFont="1" applyFill="1" applyBorder="1" applyAlignment="1">
      <alignment vertical="center"/>
    </xf>
    <xf numFmtId="3" fontId="3" fillId="0" borderId="29" xfId="0" applyNumberFormat="1" applyFont="1" applyFill="1" applyBorder="1" applyAlignment="1">
      <alignment vertical="center"/>
    </xf>
    <xf numFmtId="0" fontId="4" fillId="0" borderId="52" xfId="0" applyFont="1" applyBorder="1" applyAlignment="1">
      <alignment horizontal="center" vertical="center" wrapText="1"/>
    </xf>
    <xf numFmtId="38" fontId="4" fillId="0" borderId="21" xfId="1" applyFont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right" vertical="center"/>
    </xf>
    <xf numFmtId="3" fontId="4" fillId="2" borderId="2" xfId="0" applyNumberFormat="1" applyFont="1" applyFill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38" fontId="3" fillId="0" borderId="6" xfId="1" applyFont="1" applyBorder="1" applyAlignment="1">
      <alignment vertical="center"/>
    </xf>
    <xf numFmtId="3" fontId="4" fillId="2" borderId="3" xfId="0" applyNumberFormat="1" applyFont="1" applyFill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38" fontId="3" fillId="0" borderId="32" xfId="1" applyFont="1" applyBorder="1" applyAlignment="1">
      <alignment vertical="center"/>
    </xf>
    <xf numFmtId="3" fontId="3" fillId="0" borderId="55" xfId="0" applyNumberFormat="1" applyFont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/>
    </xf>
    <xf numFmtId="3" fontId="3" fillId="4" borderId="13" xfId="0" applyNumberFormat="1" applyFont="1" applyFill="1" applyBorder="1" applyAlignment="1">
      <alignment horizontal="right" vertical="center"/>
    </xf>
    <xf numFmtId="3" fontId="4" fillId="2" borderId="9" xfId="0" applyNumberFormat="1" applyFont="1" applyFill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3" fontId="4" fillId="2" borderId="10" xfId="0" applyNumberFormat="1" applyFont="1" applyFill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3" fontId="3" fillId="0" borderId="17" xfId="0" applyNumberFormat="1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3" fontId="3" fillId="0" borderId="10" xfId="0" applyNumberFormat="1" applyFont="1" applyFill="1" applyBorder="1" applyAlignment="1">
      <alignment vertical="center"/>
    </xf>
    <xf numFmtId="177" fontId="7" fillId="0" borderId="43" xfId="0" applyNumberFormat="1" applyFont="1" applyBorder="1" applyAlignment="1">
      <alignment horizontal="center" vertical="center"/>
    </xf>
    <xf numFmtId="177" fontId="7" fillId="0" borderId="25" xfId="0" applyNumberFormat="1" applyFont="1" applyBorder="1" applyAlignment="1">
      <alignment horizontal="center" vertical="center"/>
    </xf>
    <xf numFmtId="177" fontId="7" fillId="0" borderId="25" xfId="1" applyNumberFormat="1" applyFont="1" applyBorder="1" applyAlignment="1">
      <alignment horizontal="center" vertical="center"/>
    </xf>
    <xf numFmtId="177" fontId="7" fillId="0" borderId="73" xfId="0" applyNumberFormat="1" applyFont="1" applyBorder="1" applyAlignment="1">
      <alignment horizontal="center" vertical="center"/>
    </xf>
    <xf numFmtId="0" fontId="4" fillId="0" borderId="78" xfId="0" applyFont="1" applyBorder="1" applyAlignment="1">
      <alignment horizontal="center" vertical="center" wrapText="1"/>
    </xf>
    <xf numFmtId="3" fontId="4" fillId="3" borderId="22" xfId="0" applyNumberFormat="1" applyFont="1" applyFill="1" applyBorder="1" applyAlignment="1">
      <alignment horizontal="right" vertical="center"/>
    </xf>
    <xf numFmtId="3" fontId="4" fillId="2" borderId="24" xfId="0" applyNumberFormat="1" applyFont="1" applyFill="1" applyBorder="1" applyAlignment="1">
      <alignment vertical="center"/>
    </xf>
    <xf numFmtId="3" fontId="3" fillId="0" borderId="23" xfId="0" applyNumberFormat="1" applyFont="1" applyBorder="1" applyAlignment="1">
      <alignment vertical="center"/>
    </xf>
    <xf numFmtId="3" fontId="4" fillId="2" borderId="23" xfId="0" applyNumberFormat="1" applyFont="1" applyFill="1" applyBorder="1" applyAlignment="1">
      <alignment vertical="center"/>
    </xf>
    <xf numFmtId="3" fontId="3" fillId="0" borderId="23" xfId="0" applyNumberFormat="1" applyFont="1" applyFill="1" applyBorder="1" applyAlignment="1">
      <alignment vertical="center"/>
    </xf>
    <xf numFmtId="3" fontId="3" fillId="0" borderId="79" xfId="0" applyNumberFormat="1" applyFont="1" applyBorder="1" applyAlignment="1">
      <alignment vertical="center"/>
    </xf>
    <xf numFmtId="3" fontId="3" fillId="0" borderId="80" xfId="0" applyNumberFormat="1" applyFont="1" applyBorder="1" applyAlignment="1">
      <alignment vertical="center"/>
    </xf>
    <xf numFmtId="3" fontId="3" fillId="0" borderId="82" xfId="0" applyNumberFormat="1" applyFont="1" applyBorder="1" applyAlignment="1">
      <alignment vertical="center"/>
    </xf>
    <xf numFmtId="0" fontId="4" fillId="0" borderId="86" xfId="0" applyFont="1" applyBorder="1" applyAlignment="1">
      <alignment horizontal="center" vertical="center" wrapText="1"/>
    </xf>
    <xf numFmtId="3" fontId="4" fillId="3" borderId="87" xfId="0" applyNumberFormat="1" applyFont="1" applyFill="1" applyBorder="1" applyAlignment="1">
      <alignment horizontal="right" vertical="center"/>
    </xf>
    <xf numFmtId="3" fontId="4" fillId="2" borderId="88" xfId="0" applyNumberFormat="1" applyFont="1" applyFill="1" applyBorder="1" applyAlignment="1">
      <alignment vertical="center"/>
    </xf>
    <xf numFmtId="3" fontId="3" fillId="0" borderId="89" xfId="0" applyNumberFormat="1" applyFont="1" applyBorder="1" applyAlignment="1">
      <alignment vertical="center"/>
    </xf>
    <xf numFmtId="3" fontId="4" fillId="2" borderId="89" xfId="0" applyNumberFormat="1" applyFont="1" applyFill="1" applyBorder="1" applyAlignment="1">
      <alignment vertical="center"/>
    </xf>
    <xf numFmtId="3" fontId="3" fillId="0" borderId="89" xfId="0" applyNumberFormat="1" applyFont="1" applyFill="1" applyBorder="1" applyAlignment="1">
      <alignment vertical="center"/>
    </xf>
    <xf numFmtId="3" fontId="3" fillId="0" borderId="90" xfId="0" applyNumberFormat="1" applyFont="1" applyBorder="1" applyAlignment="1">
      <alignment vertical="center"/>
    </xf>
    <xf numFmtId="3" fontId="3" fillId="0" borderId="91" xfId="0" applyNumberFormat="1" applyFont="1" applyBorder="1" applyAlignment="1">
      <alignment vertical="center"/>
    </xf>
    <xf numFmtId="3" fontId="3" fillId="0" borderId="93" xfId="0" applyNumberFormat="1" applyFont="1" applyBorder="1" applyAlignment="1">
      <alignment vertical="center"/>
    </xf>
    <xf numFmtId="0" fontId="4" fillId="0" borderId="96" xfId="0" applyFont="1" applyBorder="1" applyAlignment="1">
      <alignment horizontal="center" vertical="center" wrapText="1"/>
    </xf>
    <xf numFmtId="3" fontId="4" fillId="3" borderId="97" xfId="0" applyNumberFormat="1" applyFont="1" applyFill="1" applyBorder="1" applyAlignment="1">
      <alignment horizontal="right" vertical="center"/>
    </xf>
    <xf numFmtId="3" fontId="4" fillId="2" borderId="98" xfId="0" applyNumberFormat="1" applyFont="1" applyFill="1" applyBorder="1" applyAlignment="1">
      <alignment vertical="center"/>
    </xf>
    <xf numFmtId="3" fontId="3" fillId="0" borderId="99" xfId="0" applyNumberFormat="1" applyFont="1" applyBorder="1" applyAlignment="1">
      <alignment vertical="center"/>
    </xf>
    <xf numFmtId="3" fontId="4" fillId="2" borderId="99" xfId="0" applyNumberFormat="1" applyFont="1" applyFill="1" applyBorder="1" applyAlignment="1">
      <alignment vertical="center"/>
    </xf>
    <xf numFmtId="3" fontId="3" fillId="0" borderId="99" xfId="0" applyNumberFormat="1" applyFont="1" applyFill="1" applyBorder="1" applyAlignment="1">
      <alignment vertical="center"/>
    </xf>
    <xf numFmtId="3" fontId="3" fillId="0" borderId="100" xfId="0" applyNumberFormat="1" applyFont="1" applyBorder="1" applyAlignment="1">
      <alignment vertical="center"/>
    </xf>
    <xf numFmtId="3" fontId="3" fillId="0" borderId="101" xfId="0" applyNumberFormat="1" applyFont="1" applyBorder="1" applyAlignment="1">
      <alignment vertical="center"/>
    </xf>
    <xf numFmtId="3" fontId="3" fillId="0" borderId="103" xfId="0" applyNumberFormat="1" applyFont="1" applyBorder="1" applyAlignment="1">
      <alignment vertical="center"/>
    </xf>
    <xf numFmtId="38" fontId="4" fillId="2" borderId="106" xfId="1" applyFont="1" applyFill="1" applyBorder="1" applyAlignment="1">
      <alignment vertical="center"/>
    </xf>
    <xf numFmtId="38" fontId="3" fillId="0" borderId="108" xfId="1" applyFont="1" applyBorder="1" applyAlignment="1">
      <alignment vertical="center"/>
    </xf>
    <xf numFmtId="38" fontId="4" fillId="2" borderId="108" xfId="1" applyFont="1" applyFill="1" applyBorder="1" applyAlignment="1">
      <alignment vertical="center"/>
    </xf>
    <xf numFmtId="38" fontId="3" fillId="0" borderId="108" xfId="1" applyFont="1" applyFill="1" applyBorder="1" applyAlignment="1">
      <alignment vertical="center"/>
    </xf>
    <xf numFmtId="38" fontId="3" fillId="0" borderId="109" xfId="1" applyFont="1" applyBorder="1" applyAlignment="1">
      <alignment vertical="center"/>
    </xf>
    <xf numFmtId="38" fontId="3" fillId="0" borderId="107" xfId="1" applyFont="1" applyBorder="1" applyAlignment="1">
      <alignment vertical="center"/>
    </xf>
    <xf numFmtId="0" fontId="7" fillId="0" borderId="69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 wrapText="1"/>
    </xf>
    <xf numFmtId="38" fontId="7" fillId="0" borderId="70" xfId="1" applyFont="1" applyBorder="1" applyAlignment="1">
      <alignment horizontal="center" vertical="center" wrapText="1"/>
    </xf>
    <xf numFmtId="0" fontId="7" fillId="0" borderId="72" xfId="0" applyFont="1" applyBorder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38" fontId="7" fillId="0" borderId="73" xfId="1" applyFont="1" applyBorder="1" applyAlignment="1">
      <alignment horizontal="center" vertical="center"/>
    </xf>
    <xf numFmtId="0" fontId="7" fillId="0" borderId="76" xfId="0" applyFont="1" applyBorder="1" applyAlignment="1">
      <alignment horizontal="center" vertical="center"/>
    </xf>
    <xf numFmtId="3" fontId="3" fillId="0" borderId="19" xfId="0" applyNumberFormat="1" applyFont="1" applyFill="1" applyBorder="1" applyAlignment="1">
      <alignment vertical="center"/>
    </xf>
    <xf numFmtId="38" fontId="3" fillId="0" borderId="0" xfId="0" applyNumberFormat="1" applyFont="1" applyAlignment="1">
      <alignment vertical="center"/>
    </xf>
    <xf numFmtId="3" fontId="3" fillId="0" borderId="31" xfId="0" applyNumberFormat="1" applyFont="1" applyBorder="1" applyAlignment="1">
      <alignment horizontal="right" vertical="center"/>
    </xf>
    <xf numFmtId="3" fontId="4" fillId="2" borderId="29" xfId="0" applyNumberFormat="1" applyFont="1" applyFill="1" applyBorder="1" applyAlignment="1">
      <alignment horizontal="right" vertical="center"/>
    </xf>
    <xf numFmtId="3" fontId="3" fillId="0" borderId="13" xfId="0" applyNumberFormat="1" applyFont="1" applyBorder="1" applyAlignment="1">
      <alignment horizontal="right" vertical="center"/>
    </xf>
    <xf numFmtId="0" fontId="3" fillId="0" borderId="117" xfId="0" applyFont="1" applyBorder="1" applyAlignment="1">
      <alignment vertical="center"/>
    </xf>
    <xf numFmtId="3" fontId="3" fillId="0" borderId="13" xfId="0" applyNumberFormat="1" applyFont="1" applyBorder="1" applyAlignment="1">
      <alignment vertical="center"/>
    </xf>
    <xf numFmtId="3" fontId="6" fillId="0" borderId="118" xfId="0" applyNumberFormat="1" applyFont="1" applyBorder="1" applyAlignment="1">
      <alignment vertical="center"/>
    </xf>
    <xf numFmtId="3" fontId="6" fillId="0" borderId="119" xfId="0" applyNumberFormat="1" applyFont="1" applyBorder="1" applyAlignment="1">
      <alignment vertical="center"/>
    </xf>
    <xf numFmtId="3" fontId="6" fillId="0" borderId="120" xfId="0" applyNumberFormat="1" applyFont="1" applyBorder="1" applyAlignment="1">
      <alignment vertical="center"/>
    </xf>
    <xf numFmtId="3" fontId="6" fillId="0" borderId="121" xfId="0" applyNumberFormat="1" applyFont="1" applyBorder="1" applyAlignment="1">
      <alignment vertical="center"/>
    </xf>
    <xf numFmtId="3" fontId="6" fillId="0" borderId="125" xfId="0" applyNumberFormat="1" applyFont="1" applyBorder="1" applyAlignment="1">
      <alignment horizontal="right" vertical="center"/>
    </xf>
    <xf numFmtId="3" fontId="6" fillId="0" borderId="126" xfId="0" applyNumberFormat="1" applyFont="1" applyBorder="1" applyAlignment="1">
      <alignment vertical="center"/>
    </xf>
    <xf numFmtId="3" fontId="6" fillId="0" borderId="122" xfId="0" applyNumberFormat="1" applyFont="1" applyBorder="1" applyAlignment="1">
      <alignment vertical="center"/>
    </xf>
    <xf numFmtId="3" fontId="6" fillId="0" borderId="123" xfId="0" applyNumberFormat="1" applyFont="1" applyBorder="1" applyAlignment="1">
      <alignment vertical="center"/>
    </xf>
    <xf numFmtId="3" fontId="6" fillId="0" borderId="124" xfId="0" applyNumberFormat="1" applyFont="1" applyBorder="1" applyAlignment="1">
      <alignment vertical="center"/>
    </xf>
    <xf numFmtId="3" fontId="6" fillId="0" borderId="127" xfId="0" applyNumberFormat="1" applyFont="1" applyBorder="1" applyAlignment="1">
      <alignment vertical="center"/>
    </xf>
    <xf numFmtId="3" fontId="6" fillId="0" borderId="128" xfId="0" applyNumberFormat="1" applyFont="1" applyBorder="1" applyAlignment="1">
      <alignment horizontal="right" vertical="center"/>
    </xf>
    <xf numFmtId="3" fontId="6" fillId="0" borderId="129" xfId="0" applyNumberFormat="1" applyFont="1" applyBorder="1" applyAlignment="1">
      <alignment vertical="center"/>
    </xf>
    <xf numFmtId="38" fontId="4" fillId="3" borderId="22" xfId="1" applyFont="1" applyFill="1" applyBorder="1" applyAlignment="1">
      <alignment vertical="center"/>
    </xf>
    <xf numFmtId="38" fontId="4" fillId="2" borderId="24" xfId="1" applyFont="1" applyFill="1" applyBorder="1" applyAlignment="1">
      <alignment vertical="center"/>
    </xf>
    <xf numFmtId="38" fontId="3" fillId="0" borderId="80" xfId="1" applyFont="1" applyBorder="1" applyAlignment="1">
      <alignment vertical="center"/>
    </xf>
    <xf numFmtId="38" fontId="3" fillId="0" borderId="23" xfId="1" applyFont="1" applyBorder="1" applyAlignment="1">
      <alignment vertical="center"/>
    </xf>
    <xf numFmtId="38" fontId="4" fillId="2" borderId="23" xfId="1" applyFont="1" applyFill="1" applyBorder="1" applyAlignment="1">
      <alignment vertical="center"/>
    </xf>
    <xf numFmtId="38" fontId="3" fillId="0" borderId="23" xfId="1" applyFont="1" applyFill="1" applyBorder="1" applyAlignment="1">
      <alignment vertical="center"/>
    </xf>
    <xf numFmtId="38" fontId="3" fillId="0" borderId="79" xfId="1" applyFont="1" applyBorder="1" applyAlignment="1">
      <alignment vertical="center"/>
    </xf>
    <xf numFmtId="3" fontId="4" fillId="2" borderId="138" xfId="0" applyNumberFormat="1" applyFont="1" applyFill="1" applyBorder="1" applyAlignment="1">
      <alignment vertical="center"/>
    </xf>
    <xf numFmtId="3" fontId="3" fillId="0" borderId="139" xfId="0" applyNumberFormat="1" applyFont="1" applyBorder="1" applyAlignment="1">
      <alignment vertical="center"/>
    </xf>
    <xf numFmtId="3" fontId="3" fillId="0" borderId="19" xfId="0" applyNumberFormat="1" applyFont="1" applyBorder="1" applyAlignment="1">
      <alignment vertical="center"/>
    </xf>
    <xf numFmtId="3" fontId="4" fillId="2" borderId="19" xfId="0" applyNumberFormat="1" applyFont="1" applyFill="1" applyBorder="1" applyAlignment="1">
      <alignment vertical="center"/>
    </xf>
    <xf numFmtId="3" fontId="3" fillId="0" borderId="144" xfId="0" applyNumberFormat="1" applyFont="1" applyBorder="1" applyAlignment="1">
      <alignment vertical="center"/>
    </xf>
    <xf numFmtId="3" fontId="3" fillId="0" borderId="133" xfId="0" applyNumberFormat="1" applyFont="1" applyBorder="1" applyAlignment="1">
      <alignment vertical="center"/>
    </xf>
    <xf numFmtId="38" fontId="7" fillId="0" borderId="40" xfId="1" applyFont="1" applyBorder="1" applyAlignment="1">
      <alignment vertical="center"/>
    </xf>
    <xf numFmtId="38" fontId="7" fillId="0" borderId="29" xfId="1" applyFont="1" applyBorder="1" applyAlignment="1">
      <alignment vertical="center"/>
    </xf>
    <xf numFmtId="38" fontId="4" fillId="6" borderId="78" xfId="1" applyFont="1" applyFill="1" applyBorder="1" applyAlignment="1">
      <alignment horizontal="center" vertical="center" wrapText="1"/>
    </xf>
    <xf numFmtId="38" fontId="7" fillId="0" borderId="25" xfId="1" applyFont="1" applyBorder="1" applyAlignment="1">
      <alignment horizontal="center" vertical="center"/>
    </xf>
    <xf numFmtId="38" fontId="7" fillId="0" borderId="70" xfId="1" applyFont="1" applyBorder="1" applyAlignment="1">
      <alignment vertical="center" wrapText="1"/>
    </xf>
    <xf numFmtId="0" fontId="7" fillId="0" borderId="67" xfId="0" applyFont="1" applyBorder="1" applyAlignment="1">
      <alignment vertical="center"/>
    </xf>
    <xf numFmtId="0" fontId="7" fillId="0" borderId="68" xfId="0" applyFont="1" applyBorder="1" applyAlignment="1">
      <alignment vertical="center"/>
    </xf>
    <xf numFmtId="38" fontId="7" fillId="0" borderId="73" xfId="1" applyFont="1" applyBorder="1" applyAlignment="1">
      <alignment vertical="center"/>
    </xf>
    <xf numFmtId="0" fontId="7" fillId="0" borderId="75" xfId="0" applyFont="1" applyBorder="1" applyAlignment="1">
      <alignment horizontal="center" vertical="center"/>
    </xf>
    <xf numFmtId="38" fontId="7" fillId="0" borderId="76" xfId="1" applyFont="1" applyBorder="1" applyAlignment="1">
      <alignment horizontal="center" vertical="center"/>
    </xf>
    <xf numFmtId="38" fontId="7" fillId="0" borderId="76" xfId="1" applyFont="1" applyBorder="1" applyAlignment="1">
      <alignment vertical="center"/>
    </xf>
    <xf numFmtId="0" fontId="4" fillId="7" borderId="21" xfId="0" applyFont="1" applyFill="1" applyBorder="1" applyAlignment="1">
      <alignment horizontal="center" vertical="center" wrapText="1"/>
    </xf>
    <xf numFmtId="38" fontId="4" fillId="3" borderId="145" xfId="1" applyFont="1" applyFill="1" applyBorder="1" applyAlignment="1">
      <alignment vertical="center"/>
    </xf>
    <xf numFmtId="38" fontId="3" fillId="0" borderId="107" xfId="1" applyFont="1" applyBorder="1" applyAlignment="1">
      <alignment horizontal="right" vertical="center"/>
    </xf>
    <xf numFmtId="38" fontId="3" fillId="0" borderId="21" xfId="1" applyFont="1" applyBorder="1" applyAlignment="1">
      <alignment horizontal="center" vertical="center"/>
    </xf>
    <xf numFmtId="38" fontId="3" fillId="0" borderId="71" xfId="1" applyFont="1" applyBorder="1" applyAlignment="1">
      <alignment vertical="center" wrapText="1"/>
    </xf>
    <xf numFmtId="38" fontId="3" fillId="0" borderId="74" xfId="1" applyFont="1" applyBorder="1" applyAlignment="1">
      <alignment vertical="center"/>
    </xf>
    <xf numFmtId="38" fontId="3" fillId="0" borderId="77" xfId="1" applyFont="1" applyBorder="1" applyAlignment="1">
      <alignment vertical="center"/>
    </xf>
    <xf numFmtId="0" fontId="7" fillId="0" borderId="28" xfId="0" applyFont="1" applyBorder="1" applyAlignment="1">
      <alignment vertical="center"/>
    </xf>
    <xf numFmtId="38" fontId="7" fillId="0" borderId="28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9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30" xfId="0" applyFont="1" applyBorder="1" applyAlignment="1">
      <alignment vertical="center"/>
    </xf>
    <xf numFmtId="38" fontId="7" fillId="3" borderId="30" xfId="1" applyFont="1" applyFill="1" applyBorder="1" applyAlignment="1">
      <alignment vertical="center"/>
    </xf>
    <xf numFmtId="38" fontId="7" fillId="0" borderId="30" xfId="1" applyFont="1" applyBorder="1" applyAlignment="1">
      <alignment vertical="center"/>
    </xf>
    <xf numFmtId="0" fontId="7" fillId="0" borderId="88" xfId="0" applyFont="1" applyBorder="1" applyAlignment="1">
      <alignment vertical="center"/>
    </xf>
    <xf numFmtId="0" fontId="7" fillId="0" borderId="89" xfId="0" applyFont="1" applyBorder="1" applyAlignment="1">
      <alignment vertical="center"/>
    </xf>
    <xf numFmtId="0" fontId="7" fillId="0" borderId="90" xfId="0" applyFont="1" applyBorder="1" applyAlignment="1">
      <alignment vertical="center"/>
    </xf>
    <xf numFmtId="0" fontId="7" fillId="0" borderId="99" xfId="0" applyFont="1" applyBorder="1" applyAlignment="1">
      <alignment vertical="center"/>
    </xf>
    <xf numFmtId="0" fontId="7" fillId="0" borderId="100" xfId="0" applyFont="1" applyBorder="1" applyAlignment="1">
      <alignment vertical="center"/>
    </xf>
    <xf numFmtId="0" fontId="7" fillId="0" borderId="150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138" xfId="0" applyFont="1" applyBorder="1" applyAlignment="1">
      <alignment vertical="center"/>
    </xf>
    <xf numFmtId="0" fontId="3" fillId="0" borderId="0" xfId="0" applyFont="1" applyAlignment="1">
      <alignment horizontal="center"/>
    </xf>
    <xf numFmtId="38" fontId="3" fillId="0" borderId="138" xfId="0" applyNumberFormat="1" applyFont="1" applyBorder="1" applyAlignment="1">
      <alignment vertical="center"/>
    </xf>
    <xf numFmtId="38" fontId="3" fillId="0" borderId="28" xfId="0" applyNumberFormat="1" applyFont="1" applyBorder="1" applyAlignment="1">
      <alignment vertical="center"/>
    </xf>
    <xf numFmtId="38" fontId="3" fillId="0" borderId="24" xfId="0" applyNumberFormat="1" applyFont="1" applyBorder="1" applyAlignment="1">
      <alignment vertical="center"/>
    </xf>
    <xf numFmtId="38" fontId="3" fillId="0" borderId="46" xfId="0" applyNumberFormat="1" applyFont="1" applyBorder="1" applyAlignment="1">
      <alignment vertical="center"/>
    </xf>
    <xf numFmtId="38" fontId="3" fillId="0" borderId="98" xfId="0" applyNumberFormat="1" applyFont="1" applyBorder="1" applyAlignment="1">
      <alignment vertical="center"/>
    </xf>
    <xf numFmtId="38" fontId="3" fillId="0" borderId="88" xfId="0" applyNumberFormat="1" applyFont="1" applyBorder="1" applyAlignment="1">
      <alignment vertical="center"/>
    </xf>
    <xf numFmtId="38" fontId="3" fillId="0" borderId="5" xfId="0" applyNumberFormat="1" applyFont="1" applyBorder="1" applyAlignment="1">
      <alignment horizontal="right" vertical="center"/>
    </xf>
    <xf numFmtId="38" fontId="3" fillId="0" borderId="2" xfId="0" applyNumberFormat="1" applyFont="1" applyBorder="1" applyAlignment="1">
      <alignment horizontal="right" vertical="center"/>
    </xf>
    <xf numFmtId="38" fontId="3" fillId="0" borderId="28" xfId="0" applyNumberFormat="1" applyFont="1" applyBorder="1" applyAlignment="1">
      <alignment horizontal="right" vertical="center"/>
    </xf>
    <xf numFmtId="38" fontId="3" fillId="0" borderId="64" xfId="1" applyNumberFormat="1" applyFont="1" applyBorder="1" applyAlignment="1">
      <alignment vertical="center"/>
    </xf>
    <xf numFmtId="38" fontId="3" fillId="0" borderId="19" xfId="0" applyNumberFormat="1" applyFont="1" applyBorder="1" applyAlignment="1">
      <alignment vertical="center"/>
    </xf>
    <xf numFmtId="38" fontId="3" fillId="0" borderId="47" xfId="0" applyNumberFormat="1" applyFont="1" applyBorder="1" applyAlignment="1">
      <alignment vertical="center"/>
    </xf>
    <xf numFmtId="38" fontId="3" fillId="0" borderId="29" xfId="0" applyNumberFormat="1" applyFont="1" applyBorder="1" applyAlignment="1">
      <alignment vertical="center"/>
    </xf>
    <xf numFmtId="38" fontId="3" fillId="0" borderId="23" xfId="0" applyNumberFormat="1" applyFont="1" applyBorder="1" applyAlignment="1">
      <alignment vertical="center"/>
    </xf>
    <xf numFmtId="38" fontId="3" fillId="0" borderId="99" xfId="0" applyNumberFormat="1" applyFont="1" applyBorder="1" applyAlignment="1">
      <alignment vertical="center"/>
    </xf>
    <xf numFmtId="38" fontId="3" fillId="0" borderId="89" xfId="0" applyNumberFormat="1" applyFont="1" applyBorder="1" applyAlignment="1">
      <alignment vertical="center"/>
    </xf>
    <xf numFmtId="38" fontId="3" fillId="0" borderId="6" xfId="0" applyNumberFormat="1" applyFont="1" applyBorder="1" applyAlignment="1">
      <alignment horizontal="right" vertical="center"/>
    </xf>
    <xf numFmtId="38" fontId="3" fillId="0" borderId="3" xfId="0" applyNumberFormat="1" applyFont="1" applyBorder="1" applyAlignment="1">
      <alignment horizontal="right" vertical="center"/>
    </xf>
    <xf numFmtId="38" fontId="3" fillId="0" borderId="29" xfId="0" applyNumberFormat="1" applyFont="1" applyFill="1" applyBorder="1" applyAlignment="1">
      <alignment horizontal="right" vertical="center"/>
    </xf>
    <xf numFmtId="38" fontId="3" fillId="0" borderId="108" xfId="1" applyNumberFormat="1" applyFont="1" applyFill="1" applyBorder="1" applyAlignment="1">
      <alignment vertical="center"/>
    </xf>
    <xf numFmtId="38" fontId="3" fillId="0" borderId="144" xfId="0" applyNumberFormat="1" applyFont="1" applyBorder="1" applyAlignment="1">
      <alignment vertical="center"/>
    </xf>
    <xf numFmtId="38" fontId="3" fillId="0" borderId="48" xfId="0" applyNumberFormat="1" applyFont="1" applyBorder="1" applyAlignment="1">
      <alignment vertical="center"/>
    </xf>
    <xf numFmtId="38" fontId="3" fillId="0" borderId="30" xfId="0" applyNumberFormat="1" applyFont="1" applyBorder="1" applyAlignment="1">
      <alignment vertical="center"/>
    </xf>
    <xf numFmtId="38" fontId="3" fillId="0" borderId="79" xfId="0" applyNumberFormat="1" applyFont="1" applyBorder="1" applyAlignment="1">
      <alignment vertical="center"/>
    </xf>
    <xf numFmtId="38" fontId="3" fillId="0" borderId="100" xfId="0" applyNumberFormat="1" applyFont="1" applyBorder="1" applyAlignment="1">
      <alignment vertical="center"/>
    </xf>
    <xf numFmtId="38" fontId="3" fillId="0" borderId="90" xfId="0" applyNumberFormat="1" applyFont="1" applyBorder="1" applyAlignment="1">
      <alignment vertical="center"/>
    </xf>
    <xf numFmtId="38" fontId="3" fillId="0" borderId="32" xfId="0" applyNumberFormat="1" applyFont="1" applyBorder="1" applyAlignment="1">
      <alignment horizontal="right" vertical="center"/>
    </xf>
    <xf numFmtId="38" fontId="3" fillId="5" borderId="4" xfId="0" applyNumberFormat="1" applyFont="1" applyFill="1" applyBorder="1" applyAlignment="1">
      <alignment horizontal="right" vertical="center"/>
    </xf>
    <xf numFmtId="38" fontId="3" fillId="0" borderId="30" xfId="0" applyNumberFormat="1" applyFont="1" applyFill="1" applyBorder="1" applyAlignment="1">
      <alignment horizontal="right" vertical="center"/>
    </xf>
    <xf numFmtId="38" fontId="4" fillId="7" borderId="25" xfId="1" applyFont="1" applyFill="1" applyBorder="1" applyAlignment="1">
      <alignment horizontal="center" vertical="center" wrapText="1"/>
    </xf>
    <xf numFmtId="38" fontId="4" fillId="7" borderId="152" xfId="1" applyFont="1" applyFill="1" applyBorder="1" applyAlignment="1">
      <alignment horizontal="center" vertical="center" wrapText="1"/>
    </xf>
    <xf numFmtId="38" fontId="4" fillId="3" borderId="26" xfId="1" applyFont="1" applyFill="1" applyBorder="1" applyAlignment="1">
      <alignment vertical="center"/>
    </xf>
    <xf numFmtId="38" fontId="4" fillId="3" borderId="151" xfId="1" applyFont="1" applyFill="1" applyBorder="1" applyAlignment="1">
      <alignment vertical="center"/>
    </xf>
    <xf numFmtId="38" fontId="4" fillId="2" borderId="28" xfId="1" applyFont="1" applyFill="1" applyBorder="1" applyAlignment="1">
      <alignment vertical="center"/>
    </xf>
    <xf numFmtId="38" fontId="4" fillId="2" borderId="153" xfId="1" applyFont="1" applyFill="1" applyBorder="1" applyAlignment="1">
      <alignment vertical="center"/>
    </xf>
    <xf numFmtId="38" fontId="3" fillId="0" borderId="31" xfId="1" applyFont="1" applyBorder="1" applyAlignment="1">
      <alignment horizontal="right" vertical="center"/>
    </xf>
    <xf numFmtId="38" fontId="3" fillId="0" borderId="154" xfId="1" applyFont="1" applyBorder="1" applyAlignment="1">
      <alignment horizontal="right" vertical="center"/>
    </xf>
    <xf numFmtId="38" fontId="3" fillId="0" borderId="29" xfId="1" applyFont="1" applyBorder="1" applyAlignment="1">
      <alignment vertical="center"/>
    </xf>
    <xf numFmtId="38" fontId="3" fillId="0" borderId="157" xfId="1" applyFont="1" applyBorder="1" applyAlignment="1">
      <alignment vertical="center"/>
    </xf>
    <xf numFmtId="38" fontId="4" fillId="2" borderId="29" xfId="1" applyFont="1" applyFill="1" applyBorder="1" applyAlignment="1">
      <alignment vertical="center"/>
    </xf>
    <xf numFmtId="38" fontId="4" fillId="2" borderId="157" xfId="1" applyFont="1" applyFill="1" applyBorder="1" applyAlignment="1">
      <alignment vertical="center"/>
    </xf>
    <xf numFmtId="38" fontId="3" fillId="0" borderId="29" xfId="1" applyFont="1" applyFill="1" applyBorder="1" applyAlignment="1">
      <alignment vertical="center"/>
    </xf>
    <xf numFmtId="38" fontId="3" fillId="0" borderId="157" xfId="1" applyFont="1" applyFill="1" applyBorder="1" applyAlignment="1">
      <alignment vertical="center"/>
    </xf>
    <xf numFmtId="38" fontId="3" fillId="0" borderId="30" xfId="1" applyFont="1" applyBorder="1" applyAlignment="1">
      <alignment vertical="center"/>
    </xf>
    <xf numFmtId="38" fontId="3" fillId="0" borderId="158" xfId="1" applyFont="1" applyBorder="1" applyAlignment="1">
      <alignment vertical="center"/>
    </xf>
    <xf numFmtId="38" fontId="3" fillId="0" borderId="31" xfId="1" applyFont="1" applyBorder="1" applyAlignment="1">
      <alignment vertical="center"/>
    </xf>
    <xf numFmtId="38" fontId="3" fillId="0" borderId="154" xfId="1" applyFont="1" applyBorder="1" applyAlignment="1">
      <alignment vertical="center"/>
    </xf>
    <xf numFmtId="38" fontId="3" fillId="0" borderId="37" xfId="1" applyFont="1" applyBorder="1" applyAlignment="1">
      <alignment vertical="center"/>
    </xf>
    <xf numFmtId="38" fontId="3" fillId="0" borderId="28" xfId="1" applyNumberFormat="1" applyFont="1" applyBorder="1" applyAlignment="1">
      <alignment vertical="center"/>
    </xf>
    <xf numFmtId="38" fontId="3" fillId="0" borderId="152" xfId="1" applyNumberFormat="1" applyFont="1" applyBorder="1" applyAlignment="1">
      <alignment vertical="center"/>
    </xf>
    <xf numFmtId="38" fontId="3" fillId="0" borderId="29" xfId="1" applyNumberFormat="1" applyFont="1" applyFill="1" applyBorder="1" applyAlignment="1">
      <alignment vertical="center"/>
    </xf>
    <xf numFmtId="38" fontId="3" fillId="0" borderId="157" xfId="1" applyNumberFormat="1" applyFont="1" applyFill="1" applyBorder="1" applyAlignment="1">
      <alignment vertical="center"/>
    </xf>
    <xf numFmtId="38" fontId="3" fillId="0" borderId="30" xfId="1" applyNumberFormat="1" applyFont="1" applyFill="1" applyBorder="1" applyAlignment="1">
      <alignment vertical="center"/>
    </xf>
    <xf numFmtId="38" fontId="3" fillId="0" borderId="158" xfId="1" applyNumberFormat="1" applyFont="1" applyFill="1" applyBorder="1" applyAlignment="1">
      <alignment vertical="center"/>
    </xf>
    <xf numFmtId="38" fontId="4" fillId="3" borderId="1" xfId="1" applyFont="1" applyFill="1" applyBorder="1" applyAlignment="1">
      <alignment vertical="center"/>
    </xf>
    <xf numFmtId="38" fontId="4" fillId="2" borderId="2" xfId="1" applyFont="1" applyFill="1" applyBorder="1" applyAlignment="1">
      <alignment vertical="center"/>
    </xf>
    <xf numFmtId="38" fontId="3" fillId="0" borderId="3" xfId="1" applyFont="1" applyBorder="1" applyAlignment="1">
      <alignment vertical="center"/>
    </xf>
    <xf numFmtId="38" fontId="4" fillId="2" borderId="3" xfId="1" applyFont="1" applyFill="1" applyBorder="1" applyAlignment="1">
      <alignment vertical="center"/>
    </xf>
    <xf numFmtId="38" fontId="3" fillId="0" borderId="3" xfId="1" applyFont="1" applyFill="1" applyBorder="1" applyAlignment="1">
      <alignment vertical="center"/>
    </xf>
    <xf numFmtId="38" fontId="3" fillId="0" borderId="4" xfId="1" applyFont="1" applyBorder="1" applyAlignment="1">
      <alignment vertical="center"/>
    </xf>
    <xf numFmtId="38" fontId="3" fillId="0" borderId="13" xfId="1" applyFont="1" applyBorder="1" applyAlignment="1">
      <alignment vertical="center"/>
    </xf>
    <xf numFmtId="38" fontId="3" fillId="0" borderId="55" xfId="1" applyFont="1" applyBorder="1" applyAlignment="1">
      <alignment vertical="center"/>
    </xf>
    <xf numFmtId="38" fontId="3" fillId="0" borderId="52" xfId="1" applyNumberFormat="1" applyFont="1" applyBorder="1" applyAlignment="1">
      <alignment vertical="center"/>
    </xf>
    <xf numFmtId="38" fontId="3" fillId="0" borderId="3" xfId="1" applyNumberFormat="1" applyFont="1" applyFill="1" applyBorder="1" applyAlignment="1">
      <alignment vertical="center"/>
    </xf>
    <xf numFmtId="0" fontId="4" fillId="6" borderId="52" xfId="0" applyFont="1" applyFill="1" applyBorder="1" applyAlignment="1">
      <alignment horizontal="center" vertical="center" wrapText="1"/>
    </xf>
    <xf numFmtId="38" fontId="7" fillId="4" borderId="30" xfId="1" applyFont="1" applyFill="1" applyBorder="1" applyAlignment="1">
      <alignment vertical="center"/>
    </xf>
    <xf numFmtId="38" fontId="3" fillId="0" borderId="79" xfId="0" applyNumberFormat="1" applyFont="1" applyFill="1" applyBorder="1" applyAlignment="1">
      <alignment horizontal="right" vertical="center"/>
    </xf>
    <xf numFmtId="178" fontId="3" fillId="0" borderId="23" xfId="1" applyNumberFormat="1" applyFont="1" applyBorder="1" applyAlignment="1">
      <alignment vertical="center"/>
    </xf>
    <xf numFmtId="178" fontId="4" fillId="3" borderId="22" xfId="1" applyNumberFormat="1" applyFont="1" applyFill="1" applyBorder="1" applyAlignment="1">
      <alignment vertical="center"/>
    </xf>
    <xf numFmtId="178" fontId="4" fillId="2" borderId="24" xfId="1" applyNumberFormat="1" applyFont="1" applyFill="1" applyBorder="1" applyAlignment="1">
      <alignment vertical="center"/>
    </xf>
    <xf numFmtId="178" fontId="3" fillId="0" borderId="80" xfId="1" applyNumberFormat="1" applyFont="1" applyBorder="1" applyAlignment="1">
      <alignment vertical="center"/>
    </xf>
    <xf numFmtId="38" fontId="5" fillId="3" borderId="45" xfId="1" applyFont="1" applyFill="1" applyBorder="1" applyAlignment="1">
      <alignment vertical="center"/>
    </xf>
    <xf numFmtId="38" fontId="5" fillId="2" borderId="5" xfId="1" applyFont="1" applyFill="1" applyBorder="1" applyAlignment="1">
      <alignment vertical="center"/>
    </xf>
    <xf numFmtId="38" fontId="7" fillId="0" borderId="6" xfId="1" applyFont="1" applyBorder="1" applyAlignment="1">
      <alignment vertical="center"/>
    </xf>
    <xf numFmtId="38" fontId="5" fillId="2" borderId="6" xfId="1" applyFont="1" applyFill="1" applyBorder="1" applyAlignment="1">
      <alignment vertical="center"/>
    </xf>
    <xf numFmtId="38" fontId="7" fillId="0" borderId="6" xfId="1" applyFont="1" applyFill="1" applyBorder="1" applyAlignment="1">
      <alignment vertical="center"/>
    </xf>
    <xf numFmtId="38" fontId="7" fillId="0" borderId="32" xfId="1" applyFont="1" applyBorder="1" applyAlignment="1">
      <alignment vertical="center"/>
    </xf>
    <xf numFmtId="38" fontId="7" fillId="0" borderId="41" xfId="1" applyFont="1" applyBorder="1" applyAlignment="1">
      <alignment vertical="center"/>
    </xf>
    <xf numFmtId="38" fontId="7" fillId="0" borderId="5" xfId="1" applyNumberFormat="1" applyFont="1" applyBorder="1" applyAlignment="1">
      <alignment vertical="center"/>
    </xf>
    <xf numFmtId="38" fontId="7" fillId="0" borderId="6" xfId="1" applyNumberFormat="1" applyFont="1" applyFill="1" applyBorder="1" applyAlignment="1">
      <alignment vertical="center"/>
    </xf>
    <xf numFmtId="38" fontId="7" fillId="0" borderId="32" xfId="1" applyNumberFormat="1" applyFont="1" applyBorder="1" applyAlignment="1">
      <alignment vertical="center"/>
    </xf>
    <xf numFmtId="38" fontId="7" fillId="0" borderId="78" xfId="1" applyFont="1" applyBorder="1" applyAlignment="1">
      <alignment horizontal="center" vertical="center"/>
    </xf>
    <xf numFmtId="38" fontId="7" fillId="0" borderId="166" xfId="1" applyFont="1" applyBorder="1" applyAlignment="1">
      <alignment vertical="center" wrapText="1"/>
    </xf>
    <xf numFmtId="38" fontId="7" fillId="0" borderId="167" xfId="1" applyFont="1" applyBorder="1" applyAlignment="1">
      <alignment vertical="center"/>
    </xf>
    <xf numFmtId="38" fontId="7" fillId="0" borderId="168" xfId="1" applyFont="1" applyBorder="1" applyAlignment="1">
      <alignment vertical="center"/>
    </xf>
    <xf numFmtId="38" fontId="7" fillId="0" borderId="24" xfId="1" applyFont="1" applyBorder="1" applyAlignment="1">
      <alignment vertical="center"/>
    </xf>
    <xf numFmtId="38" fontId="7" fillId="0" borderId="23" xfId="1" applyFont="1" applyBorder="1" applyAlignment="1">
      <alignment vertical="center"/>
    </xf>
    <xf numFmtId="38" fontId="7" fillId="0" borderId="79" xfId="1" applyFont="1" applyBorder="1" applyAlignment="1">
      <alignment vertical="center"/>
    </xf>
    <xf numFmtId="38" fontId="4" fillId="7" borderId="78" xfId="1" applyFont="1" applyFill="1" applyBorder="1" applyAlignment="1">
      <alignment horizontal="center" vertical="center" wrapText="1"/>
    </xf>
    <xf numFmtId="38" fontId="3" fillId="0" borderId="80" xfId="1" applyFont="1" applyBorder="1" applyAlignment="1">
      <alignment horizontal="right" vertical="center"/>
    </xf>
    <xf numFmtId="38" fontId="3" fillId="0" borderId="78" xfId="1" applyNumberFormat="1" applyFont="1" applyBorder="1" applyAlignment="1">
      <alignment vertical="center"/>
    </xf>
    <xf numFmtId="38" fontId="3" fillId="0" borderId="23" xfId="1" applyNumberFormat="1" applyFont="1" applyFill="1" applyBorder="1" applyAlignment="1">
      <alignment vertical="center"/>
    </xf>
    <xf numFmtId="38" fontId="3" fillId="0" borderId="79" xfId="1" applyNumberFormat="1" applyFont="1" applyFill="1" applyBorder="1" applyAlignment="1">
      <alignment vertical="center"/>
    </xf>
    <xf numFmtId="38" fontId="5" fillId="3" borderId="22" xfId="1" applyFont="1" applyFill="1" applyBorder="1" applyAlignment="1">
      <alignment vertical="center"/>
    </xf>
    <xf numFmtId="38" fontId="4" fillId="0" borderId="78" xfId="1" applyFont="1" applyBorder="1" applyAlignment="1">
      <alignment horizontal="center" vertical="center" wrapText="1"/>
    </xf>
    <xf numFmtId="38" fontId="5" fillId="2" borderId="24" xfId="1" applyFont="1" applyFill="1" applyBorder="1" applyAlignment="1">
      <alignment vertical="center"/>
    </xf>
    <xf numFmtId="38" fontId="7" fillId="0" borderId="80" xfId="1" applyFont="1" applyBorder="1" applyAlignment="1">
      <alignment vertical="center"/>
    </xf>
    <xf numFmtId="38" fontId="3" fillId="0" borderId="25" xfId="1" applyNumberFormat="1" applyFont="1" applyBorder="1" applyAlignment="1">
      <alignment vertical="center"/>
    </xf>
    <xf numFmtId="3" fontId="3" fillId="0" borderId="50" xfId="0" applyNumberFormat="1" applyFont="1" applyBorder="1" applyAlignment="1">
      <alignment vertical="center"/>
    </xf>
    <xf numFmtId="3" fontId="3" fillId="0" borderId="34" xfId="0" applyNumberFormat="1" applyFont="1" applyBorder="1" applyAlignment="1">
      <alignment vertical="center"/>
    </xf>
    <xf numFmtId="3" fontId="3" fillId="0" borderId="81" xfId="0" applyNumberFormat="1" applyFont="1" applyBorder="1" applyAlignment="1">
      <alignment vertical="center"/>
    </xf>
    <xf numFmtId="3" fontId="3" fillId="0" borderId="102" xfId="0" applyNumberFormat="1" applyFont="1" applyBorder="1" applyAlignment="1">
      <alignment vertical="center"/>
    </xf>
    <xf numFmtId="3" fontId="3" fillId="0" borderId="92" xfId="0" applyNumberFormat="1" applyFon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/>
    </xf>
    <xf numFmtId="3" fontId="3" fillId="4" borderId="54" xfId="0" applyNumberFormat="1" applyFont="1" applyFill="1" applyBorder="1" applyAlignment="1">
      <alignment horizontal="right" vertical="center"/>
    </xf>
    <xf numFmtId="38" fontId="7" fillId="0" borderId="35" xfId="1" applyFont="1" applyBorder="1" applyAlignment="1">
      <alignment vertical="center"/>
    </xf>
    <xf numFmtId="178" fontId="3" fillId="0" borderId="29" xfId="1" applyNumberFormat="1" applyFont="1" applyBorder="1" applyAlignment="1">
      <alignment vertical="center"/>
    </xf>
    <xf numFmtId="178" fontId="4" fillId="2" borderId="29" xfId="1" applyNumberFormat="1" applyFont="1" applyFill="1" applyBorder="1" applyAlignment="1">
      <alignment vertical="center"/>
    </xf>
    <xf numFmtId="178" fontId="3" fillId="0" borderId="31" xfId="1" applyNumberFormat="1" applyFont="1" applyBorder="1" applyAlignment="1">
      <alignment vertical="center"/>
    </xf>
    <xf numFmtId="178" fontId="3" fillId="0" borderId="37" xfId="1" applyNumberFormat="1" applyFont="1" applyBorder="1" applyAlignment="1">
      <alignment vertical="center"/>
    </xf>
    <xf numFmtId="178" fontId="3" fillId="0" borderId="29" xfId="1" applyNumberFormat="1" applyFont="1" applyFill="1" applyBorder="1" applyAlignment="1">
      <alignment vertical="center"/>
    </xf>
    <xf numFmtId="178" fontId="3" fillId="0" borderId="30" xfId="1" applyNumberFormat="1" applyFont="1" applyBorder="1" applyAlignment="1">
      <alignment vertical="center"/>
    </xf>
    <xf numFmtId="38" fontId="4" fillId="6" borderId="52" xfId="1" applyFont="1" applyFill="1" applyBorder="1" applyAlignment="1">
      <alignment horizontal="center" vertical="center" wrapText="1"/>
    </xf>
    <xf numFmtId="38" fontId="4" fillId="6" borderId="25" xfId="1" applyFont="1" applyFill="1" applyBorder="1" applyAlignment="1">
      <alignment horizontal="center" vertical="center" wrapText="1"/>
    </xf>
    <xf numFmtId="38" fontId="3" fillId="0" borderId="13" xfId="1" applyFont="1" applyFill="1" applyBorder="1" applyAlignment="1">
      <alignment vertical="center"/>
    </xf>
    <xf numFmtId="38" fontId="3" fillId="0" borderId="31" xfId="1" applyFont="1" applyFill="1" applyBorder="1" applyAlignment="1">
      <alignment vertical="center"/>
    </xf>
    <xf numFmtId="38" fontId="3" fillId="0" borderId="2" xfId="1" applyNumberFormat="1" applyFont="1" applyBorder="1" applyAlignment="1">
      <alignment vertical="center"/>
    </xf>
    <xf numFmtId="38" fontId="3" fillId="0" borderId="3" xfId="1" applyNumberFormat="1" applyFont="1" applyBorder="1" applyAlignment="1">
      <alignment vertical="center"/>
    </xf>
    <xf numFmtId="38" fontId="3" fillId="0" borderId="29" xfId="1" applyNumberFormat="1" applyFont="1" applyBorder="1" applyAlignment="1">
      <alignment vertical="center"/>
    </xf>
    <xf numFmtId="38" fontId="3" fillId="0" borderId="4" xfId="1" applyNumberFormat="1" applyFont="1" applyBorder="1" applyAlignment="1">
      <alignment vertical="center"/>
    </xf>
    <xf numFmtId="38" fontId="3" fillId="0" borderId="30" xfId="1" applyNumberFormat="1" applyFont="1" applyBorder="1" applyAlignment="1">
      <alignment vertical="center"/>
    </xf>
    <xf numFmtId="38" fontId="7" fillId="0" borderId="10" xfId="1" applyFont="1" applyBorder="1" applyAlignment="1">
      <alignment vertical="center"/>
    </xf>
    <xf numFmtId="38" fontId="5" fillId="2" borderId="29" xfId="1" applyFont="1" applyFill="1" applyBorder="1" applyAlignment="1">
      <alignment vertical="center"/>
    </xf>
    <xf numFmtId="38" fontId="7" fillId="0" borderId="31" xfId="1" applyFont="1" applyBorder="1" applyAlignment="1">
      <alignment vertical="center"/>
    </xf>
    <xf numFmtId="178" fontId="3" fillId="0" borderId="34" xfId="1" applyNumberFormat="1" applyFont="1" applyBorder="1" applyAlignment="1">
      <alignment vertical="center"/>
    </xf>
    <xf numFmtId="38" fontId="7" fillId="0" borderId="34" xfId="1" applyFont="1" applyBorder="1" applyAlignment="1">
      <alignment vertical="center"/>
    </xf>
    <xf numFmtId="38" fontId="7" fillId="0" borderId="37" xfId="1" applyFont="1" applyBorder="1" applyAlignment="1">
      <alignment vertical="center"/>
    </xf>
    <xf numFmtId="38" fontId="7" fillId="0" borderId="29" xfId="1" applyFont="1" applyFill="1" applyBorder="1" applyAlignment="1">
      <alignment vertical="center"/>
    </xf>
    <xf numFmtId="178" fontId="3" fillId="0" borderId="28" xfId="1" applyNumberFormat="1" applyFont="1" applyBorder="1" applyAlignment="1">
      <alignment vertical="center"/>
    </xf>
    <xf numFmtId="38" fontId="7" fillId="0" borderId="28" xfId="1" applyNumberFormat="1" applyFont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38" fontId="7" fillId="0" borderId="30" xfId="1" applyNumberFormat="1" applyFont="1" applyBorder="1" applyAlignment="1">
      <alignment vertical="center"/>
    </xf>
    <xf numFmtId="38" fontId="3" fillId="3" borderId="23" xfId="1" applyFont="1" applyFill="1" applyBorder="1" applyAlignment="1">
      <alignment vertical="center"/>
    </xf>
    <xf numFmtId="178" fontId="3" fillId="0" borderId="89" xfId="1" applyNumberFormat="1" applyFont="1" applyBorder="1" applyAlignment="1">
      <alignment vertical="center"/>
    </xf>
    <xf numFmtId="178" fontId="4" fillId="2" borderId="89" xfId="1" applyNumberFormat="1" applyFont="1" applyFill="1" applyBorder="1" applyAlignment="1">
      <alignment vertical="center"/>
    </xf>
    <xf numFmtId="178" fontId="3" fillId="0" borderId="90" xfId="1" applyNumberFormat="1" applyFont="1" applyBorder="1" applyAlignment="1">
      <alignment vertical="center"/>
    </xf>
    <xf numFmtId="178" fontId="3" fillId="0" borderId="86" xfId="1" applyNumberFormat="1" applyFont="1" applyBorder="1" applyAlignment="1">
      <alignment vertical="center"/>
    </xf>
    <xf numFmtId="178" fontId="3" fillId="0" borderId="90" xfId="1" applyNumberFormat="1" applyFont="1" applyFill="1" applyBorder="1" applyAlignment="1">
      <alignment vertical="center"/>
    </xf>
    <xf numFmtId="3" fontId="3" fillId="0" borderId="53" xfId="0" applyNumberFormat="1" applyFont="1" applyFill="1" applyBorder="1" applyAlignment="1">
      <alignment horizontal="center" vertical="center"/>
    </xf>
    <xf numFmtId="3" fontId="3" fillId="0" borderId="12" xfId="0" applyNumberFormat="1" applyFont="1" applyFill="1" applyBorder="1" applyAlignment="1">
      <alignment horizontal="center" vertical="center"/>
    </xf>
    <xf numFmtId="3" fontId="4" fillId="3" borderId="25" xfId="0" applyNumberFormat="1" applyFont="1" applyFill="1" applyBorder="1" applyAlignment="1">
      <alignment horizontal="right" vertical="center"/>
    </xf>
    <xf numFmtId="3" fontId="4" fillId="3" borderId="78" xfId="0" applyNumberFormat="1" applyFont="1" applyFill="1" applyBorder="1" applyAlignment="1">
      <alignment horizontal="right" vertical="center"/>
    </xf>
    <xf numFmtId="3" fontId="4" fillId="3" borderId="43" xfId="0" applyNumberFormat="1" applyFont="1" applyFill="1" applyBorder="1" applyAlignment="1">
      <alignment horizontal="center" vertical="center"/>
    </xf>
    <xf numFmtId="3" fontId="4" fillId="3" borderId="25" xfId="0" applyNumberFormat="1" applyFont="1" applyFill="1" applyBorder="1" applyAlignment="1">
      <alignment horizontal="center" vertical="center"/>
    </xf>
    <xf numFmtId="3" fontId="4" fillId="3" borderId="96" xfId="0" applyNumberFormat="1" applyFont="1" applyFill="1" applyBorder="1" applyAlignment="1">
      <alignment horizontal="right" vertical="center"/>
    </xf>
    <xf numFmtId="3" fontId="4" fillId="3" borderId="86" xfId="0" applyNumberFormat="1" applyFont="1" applyFill="1" applyBorder="1" applyAlignment="1">
      <alignment horizontal="right" vertical="center"/>
    </xf>
    <xf numFmtId="3" fontId="4" fillId="3" borderId="21" xfId="0" applyNumberFormat="1" applyFont="1" applyFill="1" applyBorder="1" applyAlignment="1">
      <alignment horizontal="right" vertical="center"/>
    </xf>
    <xf numFmtId="3" fontId="4" fillId="3" borderId="52" xfId="0" applyNumberFormat="1" applyFont="1" applyFill="1" applyBorder="1" applyAlignment="1">
      <alignment horizontal="right" vertical="center"/>
    </xf>
    <xf numFmtId="38" fontId="4" fillId="3" borderId="25" xfId="1" applyFont="1" applyFill="1" applyBorder="1" applyAlignment="1">
      <alignment vertical="center"/>
    </xf>
    <xf numFmtId="178" fontId="4" fillId="3" borderId="25" xfId="1" applyNumberFormat="1" applyFont="1" applyFill="1" applyBorder="1" applyAlignment="1">
      <alignment vertical="center"/>
    </xf>
    <xf numFmtId="38" fontId="5" fillId="3" borderId="25" xfId="1" applyFont="1" applyFill="1" applyBorder="1" applyAlignment="1">
      <alignment vertical="center"/>
    </xf>
    <xf numFmtId="38" fontId="5" fillId="3" borderId="21" xfId="1" applyFont="1" applyFill="1" applyBorder="1" applyAlignment="1">
      <alignment vertical="center"/>
    </xf>
    <xf numFmtId="38" fontId="4" fillId="3" borderId="52" xfId="1" applyFont="1" applyFill="1" applyBorder="1" applyAlignment="1">
      <alignment vertical="center"/>
    </xf>
    <xf numFmtId="38" fontId="4" fillId="3" borderId="152" xfId="1" applyFont="1" applyFill="1" applyBorder="1" applyAlignment="1">
      <alignment vertical="center"/>
    </xf>
    <xf numFmtId="38" fontId="4" fillId="3" borderId="78" xfId="1" applyFont="1" applyFill="1" applyBorder="1" applyAlignment="1">
      <alignment vertical="center"/>
    </xf>
    <xf numFmtId="38" fontId="4" fillId="3" borderId="64" xfId="1" applyFont="1" applyFill="1" applyBorder="1" applyAlignment="1">
      <alignment vertical="center"/>
    </xf>
    <xf numFmtId="0" fontId="4" fillId="6" borderId="10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3" fontId="4" fillId="6" borderId="29" xfId="0" applyNumberFormat="1" applyFont="1" applyFill="1" applyBorder="1" applyAlignment="1">
      <alignment horizontal="right" vertical="center"/>
    </xf>
    <xf numFmtId="3" fontId="4" fillId="6" borderId="23" xfId="0" applyNumberFormat="1" applyFont="1" applyFill="1" applyBorder="1" applyAlignment="1">
      <alignment horizontal="right" vertical="center"/>
    </xf>
    <xf numFmtId="3" fontId="4" fillId="6" borderId="47" xfId="0" applyNumberFormat="1" applyFont="1" applyFill="1" applyBorder="1" applyAlignment="1">
      <alignment horizontal="center" vertical="center"/>
    </xf>
    <xf numFmtId="3" fontId="4" fillId="6" borderId="29" xfId="0" applyNumberFormat="1" applyFont="1" applyFill="1" applyBorder="1" applyAlignment="1">
      <alignment horizontal="center" vertical="center"/>
    </xf>
    <xf numFmtId="3" fontId="4" fillId="6" borderId="99" xfId="0" applyNumberFormat="1" applyFont="1" applyFill="1" applyBorder="1" applyAlignment="1">
      <alignment horizontal="right" vertical="center"/>
    </xf>
    <xf numFmtId="3" fontId="4" fillId="6" borderId="89" xfId="0" applyNumberFormat="1" applyFont="1" applyFill="1" applyBorder="1" applyAlignment="1">
      <alignment horizontal="right" vertical="center"/>
    </xf>
    <xf numFmtId="3" fontId="4" fillId="6" borderId="6" xfId="0" applyNumberFormat="1" applyFont="1" applyFill="1" applyBorder="1" applyAlignment="1">
      <alignment horizontal="right" vertical="center"/>
    </xf>
    <xf numFmtId="3" fontId="4" fillId="6" borderId="3" xfId="0" applyNumberFormat="1" applyFont="1" applyFill="1" applyBorder="1" applyAlignment="1">
      <alignment horizontal="right" vertical="center"/>
    </xf>
    <xf numFmtId="38" fontId="4" fillId="6" borderId="29" xfId="1" applyFont="1" applyFill="1" applyBorder="1" applyAlignment="1">
      <alignment vertical="center"/>
    </xf>
    <xf numFmtId="178" fontId="4" fillId="6" borderId="29" xfId="1" applyNumberFormat="1" applyFont="1" applyFill="1" applyBorder="1" applyAlignment="1">
      <alignment vertical="center"/>
    </xf>
    <xf numFmtId="38" fontId="5" fillId="6" borderId="29" xfId="1" applyFont="1" applyFill="1" applyBorder="1" applyAlignment="1">
      <alignment vertical="center"/>
    </xf>
    <xf numFmtId="38" fontId="5" fillId="6" borderId="6" xfId="1" applyFont="1" applyFill="1" applyBorder="1" applyAlignment="1">
      <alignment vertical="center"/>
    </xf>
    <xf numFmtId="38" fontId="4" fillId="6" borderId="3" xfId="1" applyFont="1" applyFill="1" applyBorder="1" applyAlignment="1">
      <alignment vertical="center"/>
    </xf>
    <xf numFmtId="38" fontId="4" fillId="6" borderId="157" xfId="1" applyFont="1" applyFill="1" applyBorder="1" applyAlignment="1">
      <alignment vertical="center"/>
    </xf>
    <xf numFmtId="38" fontId="4" fillId="6" borderId="23" xfId="1" applyFont="1" applyFill="1" applyBorder="1" applyAlignment="1">
      <alignment vertical="center"/>
    </xf>
    <xf numFmtId="38" fontId="4" fillId="6" borderId="108" xfId="1" applyFont="1" applyFill="1" applyBorder="1" applyAlignment="1">
      <alignment vertical="center"/>
    </xf>
    <xf numFmtId="38" fontId="3" fillId="0" borderId="157" xfId="1" applyNumberFormat="1" applyFont="1" applyBorder="1" applyAlignment="1">
      <alignment vertical="center"/>
    </xf>
    <xf numFmtId="38" fontId="3" fillId="0" borderId="158" xfId="1" applyNumberFormat="1" applyFont="1" applyBorder="1" applyAlignment="1">
      <alignment vertical="center"/>
    </xf>
    <xf numFmtId="0" fontId="3" fillId="0" borderId="174" xfId="0" applyFont="1" applyBorder="1" applyAlignment="1">
      <alignment vertical="center"/>
    </xf>
    <xf numFmtId="0" fontId="7" fillId="0" borderId="112" xfId="0" applyFont="1" applyBorder="1" applyAlignment="1">
      <alignment vertical="center"/>
    </xf>
    <xf numFmtId="38" fontId="7" fillId="0" borderId="134" xfId="1" applyFont="1" applyBorder="1" applyAlignment="1">
      <alignment horizontal="right" vertical="center"/>
    </xf>
    <xf numFmtId="0" fontId="3" fillId="0" borderId="12" xfId="0" applyFont="1" applyBorder="1" applyAlignment="1">
      <alignment vertical="center"/>
    </xf>
    <xf numFmtId="3" fontId="7" fillId="0" borderId="82" xfId="0" applyNumberFormat="1" applyFont="1" applyBorder="1" applyAlignment="1">
      <alignment vertical="center"/>
    </xf>
    <xf numFmtId="38" fontId="7" fillId="0" borderId="82" xfId="1" applyFont="1" applyBorder="1" applyAlignment="1">
      <alignment vertical="center"/>
    </xf>
    <xf numFmtId="3" fontId="7" fillId="0" borderId="51" xfId="0" applyNumberFormat="1" applyFont="1" applyBorder="1" applyAlignment="1">
      <alignment vertical="center"/>
    </xf>
    <xf numFmtId="3" fontId="7" fillId="0" borderId="37" xfId="0" applyNumberFormat="1" applyFont="1" applyBorder="1" applyAlignment="1">
      <alignment vertical="center"/>
    </xf>
    <xf numFmtId="3" fontId="7" fillId="0" borderId="103" xfId="0" applyNumberFormat="1" applyFont="1" applyBorder="1" applyAlignment="1">
      <alignment vertical="center"/>
    </xf>
    <xf numFmtId="3" fontId="7" fillId="0" borderId="93" xfId="0" applyNumberFormat="1" applyFont="1" applyBorder="1" applyAlignment="1">
      <alignment vertical="center"/>
    </xf>
    <xf numFmtId="3" fontId="7" fillId="0" borderId="41" xfId="0" applyNumberFormat="1" applyFont="1" applyBorder="1" applyAlignment="1">
      <alignment horizontal="right" vertical="center"/>
    </xf>
    <xf numFmtId="3" fontId="7" fillId="0" borderId="55" xfId="0" applyNumberFormat="1" applyFont="1" applyBorder="1" applyAlignment="1">
      <alignment horizontal="right" vertical="center"/>
    </xf>
    <xf numFmtId="178" fontId="7" fillId="0" borderId="82" xfId="1" applyNumberFormat="1" applyFont="1" applyBorder="1" applyAlignment="1">
      <alignment vertical="center"/>
    </xf>
    <xf numFmtId="38" fontId="7" fillId="0" borderId="55" xfId="1" applyFont="1" applyBorder="1" applyAlignment="1">
      <alignment vertical="center"/>
    </xf>
    <xf numFmtId="38" fontId="7" fillId="0" borderId="160" xfId="1" applyFont="1" applyBorder="1" applyAlignment="1">
      <alignment vertical="center"/>
    </xf>
    <xf numFmtId="38" fontId="7" fillId="0" borderId="111" xfId="1" applyFont="1" applyBorder="1" applyAlignment="1">
      <alignment vertical="center"/>
    </xf>
    <xf numFmtId="3" fontId="7" fillId="0" borderId="191" xfId="0" applyNumberFormat="1" applyFont="1" applyBorder="1" applyAlignment="1">
      <alignment vertical="center"/>
    </xf>
    <xf numFmtId="3" fontId="7" fillId="0" borderId="134" xfId="0" applyNumberFormat="1" applyFont="1" applyBorder="1" applyAlignment="1">
      <alignment vertical="center"/>
    </xf>
    <xf numFmtId="3" fontId="7" fillId="0" borderId="192" xfId="0" applyNumberFormat="1" applyFont="1" applyBorder="1" applyAlignment="1">
      <alignment vertical="center"/>
    </xf>
    <xf numFmtId="3" fontId="3" fillId="9" borderId="17" xfId="0" applyNumberFormat="1" applyFont="1" applyFill="1" applyBorder="1" applyAlignment="1">
      <alignment vertical="center"/>
    </xf>
    <xf numFmtId="3" fontId="3" fillId="9" borderId="139" xfId="0" applyNumberFormat="1" applyFont="1" applyFill="1" applyBorder="1" applyAlignment="1">
      <alignment vertical="center"/>
    </xf>
    <xf numFmtId="3" fontId="3" fillId="9" borderId="49" xfId="0" applyNumberFormat="1" applyFont="1" applyFill="1" applyBorder="1" applyAlignment="1">
      <alignment vertical="center"/>
    </xf>
    <xf numFmtId="3" fontId="3" fillId="9" borderId="31" xfId="0" applyNumberFormat="1" applyFont="1" applyFill="1" applyBorder="1" applyAlignment="1">
      <alignment vertical="center"/>
    </xf>
    <xf numFmtId="3" fontId="3" fillId="9" borderId="80" xfId="0" applyNumberFormat="1" applyFont="1" applyFill="1" applyBorder="1" applyAlignment="1">
      <alignment vertical="center"/>
    </xf>
    <xf numFmtId="3" fontId="3" fillId="9" borderId="101" xfId="0" applyNumberFormat="1" applyFont="1" applyFill="1" applyBorder="1" applyAlignment="1">
      <alignment vertical="center"/>
    </xf>
    <xf numFmtId="3" fontId="3" fillId="9" borderId="91" xfId="0" applyNumberFormat="1" applyFont="1" applyFill="1" applyBorder="1" applyAlignment="1">
      <alignment vertical="center"/>
    </xf>
    <xf numFmtId="3" fontId="3" fillId="9" borderId="40" xfId="0" applyNumberFormat="1" applyFont="1" applyFill="1" applyBorder="1" applyAlignment="1">
      <alignment horizontal="right" vertical="center"/>
    </xf>
    <xf numFmtId="3" fontId="3" fillId="9" borderId="13" xfId="0" applyNumberFormat="1" applyFont="1" applyFill="1" applyBorder="1" applyAlignment="1">
      <alignment horizontal="right" vertical="center"/>
    </xf>
    <xf numFmtId="38" fontId="3" fillId="9" borderId="31" xfId="1" applyFont="1" applyFill="1" applyBorder="1" applyAlignment="1">
      <alignment vertical="center"/>
    </xf>
    <xf numFmtId="178" fontId="3" fillId="9" borderId="31" xfId="1" applyNumberFormat="1" applyFont="1" applyFill="1" applyBorder="1" applyAlignment="1">
      <alignment vertical="center"/>
    </xf>
    <xf numFmtId="38" fontId="3" fillId="9" borderId="40" xfId="1" applyFont="1" applyFill="1" applyBorder="1" applyAlignment="1">
      <alignment vertical="center"/>
    </xf>
    <xf numFmtId="38" fontId="3" fillId="9" borderId="13" xfId="1" applyFont="1" applyFill="1" applyBorder="1" applyAlignment="1">
      <alignment vertical="center"/>
    </xf>
    <xf numFmtId="3" fontId="3" fillId="9" borderId="31" xfId="0" applyNumberFormat="1" applyFont="1" applyFill="1" applyBorder="1" applyAlignment="1">
      <alignment horizontal="right" vertical="center"/>
    </xf>
    <xf numFmtId="3" fontId="3" fillId="9" borderId="154" xfId="0" applyNumberFormat="1" applyFont="1" applyFill="1" applyBorder="1" applyAlignment="1">
      <alignment horizontal="right" vertical="center"/>
    </xf>
    <xf numFmtId="3" fontId="3" fillId="9" borderId="80" xfId="0" applyNumberFormat="1" applyFont="1" applyFill="1" applyBorder="1" applyAlignment="1">
      <alignment horizontal="right" vertical="center"/>
    </xf>
    <xf numFmtId="178" fontId="3" fillId="9" borderId="91" xfId="1" applyNumberFormat="1" applyFont="1" applyFill="1" applyBorder="1" applyAlignment="1">
      <alignment horizontal="right" vertical="center"/>
    </xf>
    <xf numFmtId="38" fontId="3" fillId="9" borderId="107" xfId="1" applyFont="1" applyFill="1" applyBorder="1" applyAlignment="1">
      <alignment vertical="center"/>
    </xf>
    <xf numFmtId="3" fontId="3" fillId="9" borderId="0" xfId="0" applyNumberFormat="1" applyFont="1" applyFill="1" applyBorder="1" applyAlignment="1">
      <alignment vertical="center"/>
    </xf>
    <xf numFmtId="3" fontId="3" fillId="9" borderId="143" xfId="0" applyNumberFormat="1" applyFont="1" applyFill="1" applyBorder="1" applyAlignment="1">
      <alignment vertical="center"/>
    </xf>
    <xf numFmtId="3" fontId="3" fillId="9" borderId="56" xfId="0" applyNumberFormat="1" applyFont="1" applyFill="1" applyBorder="1" applyAlignment="1">
      <alignment vertical="center"/>
    </xf>
    <xf numFmtId="3" fontId="3" fillId="9" borderId="57" xfId="0" applyNumberFormat="1" applyFont="1" applyFill="1" applyBorder="1" applyAlignment="1">
      <alignment vertical="center"/>
    </xf>
    <xf numFmtId="3" fontId="3" fillId="9" borderId="84" xfId="0" applyNumberFormat="1" applyFont="1" applyFill="1" applyBorder="1" applyAlignment="1">
      <alignment vertical="center"/>
    </xf>
    <xf numFmtId="3" fontId="3" fillId="9" borderId="105" xfId="0" applyNumberFormat="1" applyFont="1" applyFill="1" applyBorder="1" applyAlignment="1">
      <alignment vertical="center"/>
    </xf>
    <xf numFmtId="3" fontId="3" fillId="9" borderId="95" xfId="0" applyNumberFormat="1" applyFont="1" applyFill="1" applyBorder="1" applyAlignment="1">
      <alignment vertical="center"/>
    </xf>
    <xf numFmtId="3" fontId="3" fillId="9" borderId="27" xfId="0" applyNumberFormat="1" applyFont="1" applyFill="1" applyBorder="1" applyAlignment="1">
      <alignment horizontal="right" vertical="center"/>
    </xf>
    <xf numFmtId="3" fontId="3" fillId="9" borderId="14" xfId="0" applyNumberFormat="1" applyFont="1" applyFill="1" applyBorder="1" applyAlignment="1">
      <alignment horizontal="right" vertical="center"/>
    </xf>
    <xf numFmtId="38" fontId="3" fillId="9" borderId="57" xfId="1" applyFont="1" applyFill="1" applyBorder="1" applyAlignment="1">
      <alignment vertical="center"/>
    </xf>
    <xf numFmtId="178" fontId="3" fillId="9" borderId="57" xfId="1" applyNumberFormat="1" applyFont="1" applyFill="1" applyBorder="1" applyAlignment="1">
      <alignment vertical="center"/>
    </xf>
    <xf numFmtId="38" fontId="3" fillId="9" borderId="27" xfId="1" applyFont="1" applyFill="1" applyBorder="1" applyAlignment="1">
      <alignment vertical="center"/>
    </xf>
    <xf numFmtId="38" fontId="3" fillId="9" borderId="14" xfId="1" applyFont="1" applyFill="1" applyBorder="1" applyAlignment="1">
      <alignment vertical="center"/>
    </xf>
    <xf numFmtId="3" fontId="3" fillId="9" borderId="57" xfId="0" applyNumberFormat="1" applyFont="1" applyFill="1" applyBorder="1" applyAlignment="1">
      <alignment horizontal="right" vertical="center"/>
    </xf>
    <xf numFmtId="3" fontId="3" fillId="9" borderId="156" xfId="0" applyNumberFormat="1" applyFont="1" applyFill="1" applyBorder="1" applyAlignment="1">
      <alignment horizontal="right" vertical="center"/>
    </xf>
    <xf numFmtId="3" fontId="3" fillId="9" borderId="84" xfId="0" applyNumberFormat="1" applyFont="1" applyFill="1" applyBorder="1" applyAlignment="1">
      <alignment horizontal="right" vertical="center"/>
    </xf>
    <xf numFmtId="178" fontId="3" fillId="9" borderId="95" xfId="1" applyNumberFormat="1" applyFont="1" applyFill="1" applyBorder="1" applyAlignment="1">
      <alignment horizontal="right" vertical="center"/>
    </xf>
    <xf numFmtId="38" fontId="3" fillId="9" borderId="135" xfId="1" applyFont="1" applyFill="1" applyBorder="1" applyAlignment="1">
      <alignment vertical="center"/>
    </xf>
    <xf numFmtId="3" fontId="3" fillId="9" borderId="47" xfId="0" applyNumberFormat="1" applyFont="1" applyFill="1" applyBorder="1" applyAlignment="1">
      <alignment vertical="center"/>
    </xf>
    <xf numFmtId="3" fontId="3" fillId="9" borderId="29" xfId="0" applyNumberFormat="1" applyFont="1" applyFill="1" applyBorder="1" applyAlignment="1">
      <alignment vertical="center"/>
    </xf>
    <xf numFmtId="3" fontId="3" fillId="9" borderId="23" xfId="0" applyNumberFormat="1" applyFont="1" applyFill="1" applyBorder="1" applyAlignment="1">
      <alignment vertical="center"/>
    </xf>
    <xf numFmtId="3" fontId="3" fillId="9" borderId="99" xfId="0" applyNumberFormat="1" applyFont="1" applyFill="1" applyBorder="1" applyAlignment="1">
      <alignment vertical="center"/>
    </xf>
    <xf numFmtId="3" fontId="3" fillId="9" borderId="89" xfId="0" applyNumberFormat="1" applyFont="1" applyFill="1" applyBorder="1" applyAlignment="1">
      <alignment vertical="center"/>
    </xf>
    <xf numFmtId="3" fontId="3" fillId="9" borderId="6" xfId="0" applyNumberFormat="1" applyFont="1" applyFill="1" applyBorder="1" applyAlignment="1">
      <alignment horizontal="right" vertical="center"/>
    </xf>
    <xf numFmtId="3" fontId="3" fillId="9" borderId="3" xfId="0" applyNumberFormat="1" applyFont="1" applyFill="1" applyBorder="1" applyAlignment="1">
      <alignment horizontal="right" vertical="center"/>
    </xf>
    <xf numFmtId="38" fontId="3" fillId="9" borderId="29" xfId="1" applyFont="1" applyFill="1" applyBorder="1" applyAlignment="1">
      <alignment vertical="center"/>
    </xf>
    <xf numFmtId="178" fontId="3" fillId="9" borderId="29" xfId="1" applyNumberFormat="1" applyFont="1" applyFill="1" applyBorder="1" applyAlignment="1">
      <alignment vertical="center"/>
    </xf>
    <xf numFmtId="38" fontId="3" fillId="9" borderId="6" xfId="1" applyFont="1" applyFill="1" applyBorder="1" applyAlignment="1">
      <alignment vertical="center"/>
    </xf>
    <xf numFmtId="38" fontId="3" fillId="9" borderId="3" xfId="1" applyFont="1" applyFill="1" applyBorder="1" applyAlignment="1">
      <alignment vertical="center"/>
    </xf>
    <xf numFmtId="3" fontId="3" fillId="9" borderId="29" xfId="0" applyNumberFormat="1" applyFont="1" applyFill="1" applyBorder="1" applyAlignment="1">
      <alignment horizontal="right" vertical="center"/>
    </xf>
    <xf numFmtId="3" fontId="3" fillId="9" borderId="157" xfId="0" applyNumberFormat="1" applyFont="1" applyFill="1" applyBorder="1" applyAlignment="1">
      <alignment horizontal="right" vertical="center"/>
    </xf>
    <xf numFmtId="3" fontId="3" fillId="9" borderId="23" xfId="0" applyNumberFormat="1" applyFont="1" applyFill="1" applyBorder="1" applyAlignment="1">
      <alignment horizontal="right" vertical="center"/>
    </xf>
    <xf numFmtId="178" fontId="3" fillId="9" borderId="89" xfId="1" applyNumberFormat="1" applyFont="1" applyFill="1" applyBorder="1" applyAlignment="1">
      <alignment horizontal="right" vertical="center"/>
    </xf>
    <xf numFmtId="38" fontId="3" fillId="9" borderId="108" xfId="1" applyFont="1" applyFill="1" applyBorder="1" applyAlignment="1">
      <alignment vertical="center"/>
    </xf>
    <xf numFmtId="41" fontId="3" fillId="9" borderId="31" xfId="0" applyNumberFormat="1" applyFont="1" applyFill="1" applyBorder="1" applyAlignment="1">
      <alignment horizontal="right" vertical="center"/>
    </xf>
    <xf numFmtId="41" fontId="3" fillId="9" borderId="154" xfId="0" applyNumberFormat="1" applyFont="1" applyFill="1" applyBorder="1" applyAlignment="1">
      <alignment horizontal="right" vertical="center"/>
    </xf>
    <xf numFmtId="41" fontId="3" fillId="9" borderId="80" xfId="0" applyNumberFormat="1" applyFont="1" applyFill="1" applyBorder="1" applyAlignment="1">
      <alignment horizontal="right" vertical="center"/>
    </xf>
    <xf numFmtId="38" fontId="7" fillId="9" borderId="31" xfId="1" applyFont="1" applyFill="1" applyBorder="1" applyAlignment="1">
      <alignment vertical="center"/>
    </xf>
    <xf numFmtId="38" fontId="7" fillId="9" borderId="40" xfId="1" applyFont="1" applyFill="1" applyBorder="1" applyAlignment="1">
      <alignment vertical="center"/>
    </xf>
    <xf numFmtId="38" fontId="3" fillId="9" borderId="154" xfId="1" applyFont="1" applyFill="1" applyBorder="1" applyAlignment="1">
      <alignment vertical="center"/>
    </xf>
    <xf numFmtId="38" fontId="3" fillId="9" borderId="80" xfId="1" applyFont="1" applyFill="1" applyBorder="1" applyAlignment="1">
      <alignment vertical="center"/>
    </xf>
    <xf numFmtId="3" fontId="3" fillId="0" borderId="140" xfId="0" applyNumberFormat="1" applyFont="1" applyBorder="1" applyAlignment="1">
      <alignment vertical="center"/>
    </xf>
    <xf numFmtId="3" fontId="3" fillId="0" borderId="63" xfId="0" applyNumberFormat="1" applyFont="1" applyBorder="1" applyAlignment="1">
      <alignment vertical="center"/>
    </xf>
    <xf numFmtId="3" fontId="3" fillId="0" borderId="62" xfId="0" applyNumberFormat="1" applyFont="1" applyBorder="1" applyAlignment="1">
      <alignment vertical="center"/>
    </xf>
    <xf numFmtId="3" fontId="3" fillId="0" borderId="104" xfId="0" applyNumberFormat="1" applyFont="1" applyBorder="1" applyAlignment="1">
      <alignment vertical="center"/>
    </xf>
    <xf numFmtId="3" fontId="3" fillId="0" borderId="94" xfId="0" applyNumberFormat="1" applyFont="1" applyBorder="1" applyAlignment="1">
      <alignment vertical="center"/>
    </xf>
    <xf numFmtId="3" fontId="3" fillId="0" borderId="38" xfId="0" applyNumberFormat="1" applyFont="1" applyBorder="1" applyAlignment="1">
      <alignment horizontal="right" vertical="center"/>
    </xf>
    <xf numFmtId="3" fontId="3" fillId="0" borderId="61" xfId="0" applyNumberFormat="1" applyFont="1" applyBorder="1" applyAlignment="1">
      <alignment horizontal="right" vertical="center"/>
    </xf>
    <xf numFmtId="38" fontId="3" fillId="0" borderId="62" xfId="1" applyFont="1" applyBorder="1" applyAlignment="1">
      <alignment vertical="center"/>
    </xf>
    <xf numFmtId="178" fontId="3" fillId="0" borderId="62" xfId="1" applyNumberFormat="1" applyFont="1" applyBorder="1" applyAlignment="1">
      <alignment vertical="center"/>
    </xf>
    <xf numFmtId="38" fontId="7" fillId="0" borderId="62" xfId="1" applyFont="1" applyBorder="1" applyAlignment="1">
      <alignment vertical="center"/>
    </xf>
    <xf numFmtId="38" fontId="7" fillId="0" borderId="38" xfId="1" applyFont="1" applyBorder="1" applyAlignment="1">
      <alignment vertical="center"/>
    </xf>
    <xf numFmtId="38" fontId="3" fillId="0" borderId="61" xfId="1" applyFont="1" applyBorder="1" applyAlignment="1">
      <alignment vertical="center"/>
    </xf>
    <xf numFmtId="38" fontId="3" fillId="0" borderId="162" xfId="1" applyFont="1" applyBorder="1" applyAlignment="1">
      <alignment vertical="center"/>
    </xf>
    <xf numFmtId="38" fontId="3" fillId="0" borderId="83" xfId="1" applyFont="1" applyBorder="1" applyAlignment="1">
      <alignment vertical="center"/>
    </xf>
    <xf numFmtId="38" fontId="3" fillId="0" borderId="62" xfId="1" applyFont="1" applyFill="1" applyBorder="1" applyAlignment="1">
      <alignment vertical="center"/>
    </xf>
    <xf numFmtId="3" fontId="3" fillId="0" borderId="62" xfId="0" applyNumberFormat="1" applyFont="1" applyBorder="1" applyAlignment="1">
      <alignment horizontal="right" vertical="center"/>
    </xf>
    <xf numFmtId="38" fontId="3" fillId="0" borderId="113" xfId="1" applyFont="1" applyBorder="1" applyAlignment="1">
      <alignment vertical="center"/>
    </xf>
    <xf numFmtId="3" fontId="3" fillId="0" borderId="118" xfId="0" applyNumberFormat="1" applyFont="1" applyBorder="1" applyAlignment="1">
      <alignment horizontal="center" vertical="center"/>
    </xf>
    <xf numFmtId="3" fontId="3" fillId="0" borderId="119" xfId="0" applyNumberFormat="1" applyFont="1" applyBorder="1" applyAlignment="1">
      <alignment horizontal="center" vertical="center"/>
    </xf>
    <xf numFmtId="3" fontId="3" fillId="0" borderId="136" xfId="0" applyNumberFormat="1" applyFont="1" applyBorder="1" applyAlignment="1">
      <alignment horizontal="center" vertical="center"/>
    </xf>
    <xf numFmtId="38" fontId="3" fillId="9" borderId="156" xfId="1" applyFont="1" applyFill="1" applyBorder="1" applyAlignment="1">
      <alignment vertical="center"/>
    </xf>
    <xf numFmtId="3" fontId="3" fillId="0" borderId="63" xfId="0" applyNumberFormat="1" applyFont="1" applyBorder="1" applyAlignment="1">
      <alignment horizontal="right" vertical="center"/>
    </xf>
    <xf numFmtId="3" fontId="3" fillId="0" borderId="122" xfId="0" applyNumberFormat="1" applyFont="1" applyBorder="1" applyAlignment="1">
      <alignment horizontal="center" vertical="center"/>
    </xf>
    <xf numFmtId="3" fontId="3" fillId="0" borderId="123" xfId="0" applyNumberFormat="1" applyFont="1" applyBorder="1" applyAlignment="1">
      <alignment horizontal="center" vertical="center"/>
    </xf>
    <xf numFmtId="3" fontId="3" fillId="0" borderId="137" xfId="0" applyNumberFormat="1" applyFont="1" applyBorder="1" applyAlignment="1">
      <alignment horizontal="center" vertical="center"/>
    </xf>
    <xf numFmtId="3" fontId="3" fillId="0" borderId="83" xfId="0" applyNumberFormat="1" applyFont="1" applyBorder="1" applyAlignment="1">
      <alignment horizontal="right" vertical="center"/>
    </xf>
    <xf numFmtId="3" fontId="3" fillId="9" borderId="10" xfId="0" applyNumberFormat="1" applyFont="1" applyFill="1" applyBorder="1" applyAlignment="1">
      <alignment vertical="center"/>
    </xf>
    <xf numFmtId="3" fontId="3" fillId="9" borderId="19" xfId="0" applyNumberFormat="1" applyFont="1" applyFill="1" applyBorder="1" applyAlignment="1">
      <alignment vertical="center"/>
    </xf>
    <xf numFmtId="38" fontId="3" fillId="9" borderId="157" xfId="1" applyFont="1" applyFill="1" applyBorder="1" applyAlignment="1">
      <alignment vertical="center"/>
    </xf>
    <xf numFmtId="38" fontId="3" fillId="9" borderId="23" xfId="1" applyFont="1" applyFill="1" applyBorder="1" applyAlignment="1">
      <alignment vertical="center"/>
    </xf>
    <xf numFmtId="178" fontId="3" fillId="9" borderId="89" xfId="1" applyNumberFormat="1" applyFont="1" applyFill="1" applyBorder="1" applyAlignment="1">
      <alignment vertical="center"/>
    </xf>
    <xf numFmtId="3" fontId="4" fillId="3" borderId="43" xfId="0" applyNumberFormat="1" applyFont="1" applyFill="1" applyBorder="1" applyAlignment="1">
      <alignment horizontal="right" vertical="center"/>
    </xf>
    <xf numFmtId="3" fontId="4" fillId="6" borderId="47" xfId="0" applyNumberFormat="1" applyFont="1" applyFill="1" applyBorder="1" applyAlignment="1">
      <alignment horizontal="right" vertical="center"/>
    </xf>
    <xf numFmtId="178" fontId="4" fillId="6" borderId="89" xfId="1" applyNumberFormat="1" applyFont="1" applyFill="1" applyBorder="1" applyAlignment="1">
      <alignment vertical="center"/>
    </xf>
    <xf numFmtId="3" fontId="3" fillId="9" borderId="115" xfId="0" applyNumberFormat="1" applyFont="1" applyFill="1" applyBorder="1" applyAlignment="1">
      <alignment horizontal="right" vertical="center"/>
    </xf>
    <xf numFmtId="3" fontId="3" fillId="9" borderId="42" xfId="0" applyNumberFormat="1" applyFont="1" applyFill="1" applyBorder="1" applyAlignment="1">
      <alignment horizontal="right" vertical="center"/>
    </xf>
    <xf numFmtId="3" fontId="3" fillId="9" borderId="164" xfId="0" applyNumberFormat="1" applyFont="1" applyFill="1" applyBorder="1" applyAlignment="1">
      <alignment horizontal="right" vertical="center"/>
    </xf>
    <xf numFmtId="3" fontId="3" fillId="9" borderId="165" xfId="0" applyNumberFormat="1" applyFont="1" applyFill="1" applyBorder="1" applyAlignment="1">
      <alignment vertical="center"/>
    </xf>
    <xf numFmtId="3" fontId="3" fillId="9" borderId="198" xfId="0" applyNumberFormat="1" applyFont="1" applyFill="1" applyBorder="1" applyAlignment="1">
      <alignment vertical="center"/>
    </xf>
    <xf numFmtId="3" fontId="3" fillId="9" borderId="115" xfId="0" applyNumberFormat="1" applyFont="1" applyFill="1" applyBorder="1" applyAlignment="1">
      <alignment vertical="center"/>
    </xf>
    <xf numFmtId="3" fontId="3" fillId="9" borderId="42" xfId="0" applyNumberFormat="1" applyFont="1" applyFill="1" applyBorder="1" applyAlignment="1">
      <alignment vertical="center"/>
    </xf>
    <xf numFmtId="3" fontId="3" fillId="9" borderId="164" xfId="0" applyNumberFormat="1" applyFont="1" applyFill="1" applyBorder="1" applyAlignment="1">
      <alignment vertical="center"/>
    </xf>
    <xf numFmtId="3" fontId="3" fillId="9" borderId="116" xfId="0" applyNumberFormat="1" applyFont="1" applyFill="1" applyBorder="1" applyAlignment="1">
      <alignment vertical="center"/>
    </xf>
    <xf numFmtId="3" fontId="3" fillId="9" borderId="199" xfId="0" applyNumberFormat="1" applyFont="1" applyFill="1" applyBorder="1" applyAlignment="1">
      <alignment vertical="center"/>
    </xf>
    <xf numFmtId="3" fontId="3" fillId="9" borderId="53" xfId="0" applyNumberFormat="1" applyFont="1" applyFill="1" applyBorder="1" applyAlignment="1">
      <alignment horizontal="right" vertical="center"/>
    </xf>
    <xf numFmtId="3" fontId="3" fillId="9" borderId="12" xfId="0" applyNumberFormat="1" applyFont="1" applyFill="1" applyBorder="1" applyAlignment="1">
      <alignment horizontal="right" vertical="center"/>
    </xf>
    <xf numFmtId="38" fontId="3" fillId="9" borderId="42" xfId="1" applyFont="1" applyFill="1" applyBorder="1" applyAlignment="1">
      <alignment vertical="center"/>
    </xf>
    <xf numFmtId="178" fontId="3" fillId="9" borderId="42" xfId="1" applyNumberFormat="1" applyFont="1" applyFill="1" applyBorder="1" applyAlignment="1">
      <alignment vertical="center"/>
    </xf>
    <xf numFmtId="38" fontId="3" fillId="9" borderId="53" xfId="1" applyFont="1" applyFill="1" applyBorder="1" applyAlignment="1">
      <alignment vertical="center"/>
    </xf>
    <xf numFmtId="38" fontId="3" fillId="9" borderId="12" xfId="1" applyFont="1" applyFill="1" applyBorder="1" applyAlignment="1">
      <alignment vertical="center"/>
    </xf>
    <xf numFmtId="38" fontId="3" fillId="9" borderId="173" xfId="1" applyFont="1" applyFill="1" applyBorder="1" applyAlignment="1">
      <alignment vertical="center"/>
    </xf>
    <xf numFmtId="38" fontId="3" fillId="9" borderId="164" xfId="1" applyFont="1" applyFill="1" applyBorder="1" applyAlignment="1">
      <alignment vertical="center"/>
    </xf>
    <xf numFmtId="38" fontId="3" fillId="9" borderId="170" xfId="1" applyFont="1" applyFill="1" applyBorder="1" applyAlignment="1">
      <alignment vertical="center"/>
    </xf>
    <xf numFmtId="3" fontId="4" fillId="6" borderId="10" xfId="0" applyNumberFormat="1" applyFont="1" applyFill="1" applyBorder="1" applyAlignment="1">
      <alignment vertical="center"/>
    </xf>
    <xf numFmtId="3" fontId="4" fillId="6" borderId="19" xfId="0" applyNumberFormat="1" applyFont="1" applyFill="1" applyBorder="1" applyAlignment="1">
      <alignment vertical="center"/>
    </xf>
    <xf numFmtId="3" fontId="4" fillId="6" borderId="23" xfId="0" applyNumberFormat="1" applyFont="1" applyFill="1" applyBorder="1" applyAlignment="1">
      <alignment horizontal="center" vertical="center"/>
    </xf>
    <xf numFmtId="3" fontId="4" fillId="6" borderId="47" xfId="0" applyNumberFormat="1" applyFont="1" applyFill="1" applyBorder="1" applyAlignment="1">
      <alignment vertical="center"/>
    </xf>
    <xf numFmtId="3" fontId="4" fillId="6" borderId="29" xfId="0" applyNumberFormat="1" applyFont="1" applyFill="1" applyBorder="1" applyAlignment="1">
      <alignment vertical="center"/>
    </xf>
    <xf numFmtId="3" fontId="4" fillId="6" borderId="99" xfId="0" applyNumberFormat="1" applyFont="1" applyFill="1" applyBorder="1" applyAlignment="1">
      <alignment vertical="center"/>
    </xf>
    <xf numFmtId="3" fontId="4" fillId="6" borderId="89" xfId="0" applyNumberFormat="1" applyFont="1" applyFill="1" applyBorder="1" applyAlignment="1">
      <alignment vertical="center"/>
    </xf>
    <xf numFmtId="38" fontId="4" fillId="6" borderId="6" xfId="1" applyFont="1" applyFill="1" applyBorder="1" applyAlignment="1">
      <alignment vertical="center"/>
    </xf>
    <xf numFmtId="3" fontId="4" fillId="6" borderId="11" xfId="0" applyNumberFormat="1" applyFont="1" applyFill="1" applyBorder="1" applyAlignment="1">
      <alignment vertical="center"/>
    </xf>
    <xf numFmtId="3" fontId="4" fillId="6" borderId="144" xfId="0" applyNumberFormat="1" applyFont="1" applyFill="1" applyBorder="1" applyAlignment="1">
      <alignment vertical="center"/>
    </xf>
    <xf numFmtId="3" fontId="4" fillId="6" borderId="48" xfId="0" applyNumberFormat="1" applyFont="1" applyFill="1" applyBorder="1" applyAlignment="1">
      <alignment vertical="center"/>
    </xf>
    <xf numFmtId="3" fontId="4" fillId="6" borderId="30" xfId="0" applyNumberFormat="1" applyFont="1" applyFill="1" applyBorder="1" applyAlignment="1">
      <alignment vertical="center"/>
    </xf>
    <xf numFmtId="3" fontId="4" fillId="6" borderId="79" xfId="0" applyNumberFormat="1" applyFont="1" applyFill="1" applyBorder="1" applyAlignment="1">
      <alignment vertical="center"/>
    </xf>
    <xf numFmtId="3" fontId="4" fillId="6" borderId="100" xfId="0" applyNumberFormat="1" applyFont="1" applyFill="1" applyBorder="1" applyAlignment="1">
      <alignment vertical="center"/>
    </xf>
    <xf numFmtId="3" fontId="4" fillId="6" borderId="90" xfId="0" applyNumberFormat="1" applyFont="1" applyFill="1" applyBorder="1" applyAlignment="1">
      <alignment vertical="center"/>
    </xf>
    <xf numFmtId="3" fontId="4" fillId="6" borderId="32" xfId="0" applyNumberFormat="1" applyFont="1" applyFill="1" applyBorder="1" applyAlignment="1">
      <alignment horizontal="right" vertical="center"/>
    </xf>
    <xf numFmtId="3" fontId="4" fillId="6" borderId="4" xfId="0" applyNumberFormat="1" applyFont="1" applyFill="1" applyBorder="1" applyAlignment="1">
      <alignment horizontal="right" vertical="center"/>
    </xf>
    <xf numFmtId="38" fontId="4" fillId="6" borderId="30" xfId="1" applyFont="1" applyFill="1" applyBorder="1" applyAlignment="1">
      <alignment vertical="center"/>
    </xf>
    <xf numFmtId="178" fontId="4" fillId="6" borderId="30" xfId="1" applyNumberFormat="1" applyFont="1" applyFill="1" applyBorder="1" applyAlignment="1">
      <alignment vertical="center"/>
    </xf>
    <xf numFmtId="38" fontId="5" fillId="6" borderId="30" xfId="1" applyFont="1" applyFill="1" applyBorder="1" applyAlignment="1">
      <alignment vertical="center"/>
    </xf>
    <xf numFmtId="38" fontId="5" fillId="6" borderId="32" xfId="1" applyFont="1" applyFill="1" applyBorder="1" applyAlignment="1">
      <alignment vertical="center"/>
    </xf>
    <xf numFmtId="38" fontId="4" fillId="6" borderId="4" xfId="1" applyFont="1" applyFill="1" applyBorder="1" applyAlignment="1">
      <alignment vertical="center"/>
    </xf>
    <xf numFmtId="38" fontId="4" fillId="6" borderId="158" xfId="1" applyFont="1" applyFill="1" applyBorder="1" applyAlignment="1">
      <alignment vertical="center"/>
    </xf>
    <xf numFmtId="38" fontId="4" fillId="6" borderId="79" xfId="1" applyFont="1" applyFill="1" applyBorder="1" applyAlignment="1">
      <alignment vertical="center"/>
    </xf>
    <xf numFmtId="178" fontId="4" fillId="6" borderId="90" xfId="1" applyNumberFormat="1" applyFont="1" applyFill="1" applyBorder="1" applyAlignment="1">
      <alignment vertical="center"/>
    </xf>
    <xf numFmtId="3" fontId="4" fillId="6" borderId="30" xfId="0" applyNumberFormat="1" applyFont="1" applyFill="1" applyBorder="1" applyAlignment="1">
      <alignment horizontal="right" vertical="center"/>
    </xf>
    <xf numFmtId="38" fontId="4" fillId="6" borderId="109" xfId="1" applyFont="1" applyFill="1" applyBorder="1" applyAlignment="1">
      <alignment vertical="center"/>
    </xf>
    <xf numFmtId="3" fontId="4" fillId="6" borderId="0" xfId="0" applyNumberFormat="1" applyFont="1" applyFill="1" applyBorder="1" applyAlignment="1">
      <alignment vertical="center"/>
    </xf>
    <xf numFmtId="3" fontId="4" fillId="6" borderId="143" xfId="0" applyNumberFormat="1" applyFont="1" applyFill="1" applyBorder="1" applyAlignment="1">
      <alignment vertical="center"/>
    </xf>
    <xf numFmtId="3" fontId="4" fillId="6" borderId="56" xfId="0" applyNumberFormat="1" applyFont="1" applyFill="1" applyBorder="1" applyAlignment="1">
      <alignment vertical="center"/>
    </xf>
    <xf numFmtId="3" fontId="4" fillId="6" borderId="57" xfId="0" applyNumberFormat="1" applyFont="1" applyFill="1" applyBorder="1" applyAlignment="1">
      <alignment vertical="center"/>
    </xf>
    <xf numFmtId="3" fontId="4" fillId="6" borderId="84" xfId="0" applyNumberFormat="1" applyFont="1" applyFill="1" applyBorder="1" applyAlignment="1">
      <alignment vertical="center"/>
    </xf>
    <xf numFmtId="3" fontId="4" fillId="6" borderId="105" xfId="0" applyNumberFormat="1" applyFont="1" applyFill="1" applyBorder="1" applyAlignment="1">
      <alignment vertical="center"/>
    </xf>
    <xf numFmtId="3" fontId="4" fillId="6" borderId="95" xfId="0" applyNumberFormat="1" applyFont="1" applyFill="1" applyBorder="1" applyAlignment="1">
      <alignment vertical="center"/>
    </xf>
    <xf numFmtId="3" fontId="4" fillId="6" borderId="27" xfId="0" applyNumberFormat="1" applyFont="1" applyFill="1" applyBorder="1" applyAlignment="1">
      <alignment horizontal="right" vertical="center"/>
    </xf>
    <xf numFmtId="3" fontId="4" fillId="6" borderId="14" xfId="0" applyNumberFormat="1" applyFont="1" applyFill="1" applyBorder="1" applyAlignment="1">
      <alignment horizontal="right" vertical="center"/>
    </xf>
    <xf numFmtId="38" fontId="4" fillId="6" borderId="57" xfId="1" applyFont="1" applyFill="1" applyBorder="1" applyAlignment="1">
      <alignment vertical="center"/>
    </xf>
    <xf numFmtId="178" fontId="4" fillId="6" borderId="57" xfId="1" applyNumberFormat="1" applyFont="1" applyFill="1" applyBorder="1" applyAlignment="1">
      <alignment vertical="center"/>
    </xf>
    <xf numFmtId="38" fontId="4" fillId="6" borderId="27" xfId="1" applyFont="1" applyFill="1" applyBorder="1" applyAlignment="1">
      <alignment vertical="center"/>
    </xf>
    <xf numFmtId="38" fontId="4" fillId="6" borderId="14" xfId="1" applyFont="1" applyFill="1" applyBorder="1" applyAlignment="1">
      <alignment vertical="center"/>
    </xf>
    <xf numFmtId="38" fontId="4" fillId="6" borderId="156" xfId="1" applyFont="1" applyFill="1" applyBorder="1" applyAlignment="1">
      <alignment vertical="center"/>
    </xf>
    <xf numFmtId="38" fontId="4" fillId="6" borderId="84" xfId="1" applyFont="1" applyFill="1" applyBorder="1" applyAlignment="1">
      <alignment vertical="center"/>
    </xf>
    <xf numFmtId="3" fontId="4" fillId="6" borderId="57" xfId="0" applyNumberFormat="1" applyFont="1" applyFill="1" applyBorder="1" applyAlignment="1">
      <alignment horizontal="right" vertical="center"/>
    </xf>
    <xf numFmtId="38" fontId="4" fillId="6" borderId="135" xfId="1" applyFont="1" applyFill="1" applyBorder="1" applyAlignment="1">
      <alignment vertical="center"/>
    </xf>
    <xf numFmtId="0" fontId="4" fillId="7" borderId="17" xfId="0" applyFont="1" applyFill="1" applyBorder="1" applyAlignment="1">
      <alignment horizontal="center" vertical="center"/>
    </xf>
    <xf numFmtId="0" fontId="4" fillId="7" borderId="139" xfId="0" applyFont="1" applyFill="1" applyBorder="1" applyAlignment="1">
      <alignment horizontal="center" vertical="center"/>
    </xf>
    <xf numFmtId="3" fontId="4" fillId="7" borderId="49" xfId="0" applyNumberFormat="1" applyFont="1" applyFill="1" applyBorder="1" applyAlignment="1">
      <alignment horizontal="right" vertical="center"/>
    </xf>
    <xf numFmtId="3" fontId="4" fillId="7" borderId="31" xfId="0" applyNumberFormat="1" applyFont="1" applyFill="1" applyBorder="1" applyAlignment="1">
      <alignment horizontal="right" vertical="center"/>
    </xf>
    <xf numFmtId="3" fontId="4" fillId="7" borderId="80" xfId="0" applyNumberFormat="1" applyFont="1" applyFill="1" applyBorder="1" applyAlignment="1">
      <alignment horizontal="right" vertical="center"/>
    </xf>
    <xf numFmtId="3" fontId="4" fillId="7" borderId="49" xfId="0" applyNumberFormat="1" applyFont="1" applyFill="1" applyBorder="1" applyAlignment="1">
      <alignment horizontal="center" vertical="center"/>
    </xf>
    <xf numFmtId="3" fontId="4" fillId="7" borderId="31" xfId="0" applyNumberFormat="1" applyFont="1" applyFill="1" applyBorder="1" applyAlignment="1">
      <alignment horizontal="center" vertical="center"/>
    </xf>
    <xf numFmtId="3" fontId="4" fillId="7" borderId="101" xfId="0" applyNumberFormat="1" applyFont="1" applyFill="1" applyBorder="1" applyAlignment="1">
      <alignment horizontal="right" vertical="center"/>
    </xf>
    <xf numFmtId="3" fontId="4" fillId="7" borderId="91" xfId="0" applyNumberFormat="1" applyFont="1" applyFill="1" applyBorder="1" applyAlignment="1">
      <alignment horizontal="right" vertical="center"/>
    </xf>
    <xf numFmtId="3" fontId="4" fillId="7" borderId="40" xfId="0" applyNumberFormat="1" applyFont="1" applyFill="1" applyBorder="1" applyAlignment="1">
      <alignment horizontal="right" vertical="center"/>
    </xf>
    <xf numFmtId="3" fontId="4" fillId="7" borderId="13" xfId="0" applyNumberFormat="1" applyFont="1" applyFill="1" applyBorder="1" applyAlignment="1">
      <alignment horizontal="right" vertical="center"/>
    </xf>
    <xf numFmtId="38" fontId="4" fillId="7" borderId="31" xfId="1" applyFont="1" applyFill="1" applyBorder="1" applyAlignment="1">
      <alignment vertical="center"/>
    </xf>
    <xf numFmtId="178" fontId="4" fillId="7" borderId="31" xfId="1" applyNumberFormat="1" applyFont="1" applyFill="1" applyBorder="1" applyAlignment="1">
      <alignment vertical="center"/>
    </xf>
    <xf numFmtId="38" fontId="5" fillId="7" borderId="31" xfId="1" applyFont="1" applyFill="1" applyBorder="1" applyAlignment="1">
      <alignment vertical="center"/>
    </xf>
    <xf numFmtId="38" fontId="5" fillId="7" borderId="40" xfId="1" applyFont="1" applyFill="1" applyBorder="1" applyAlignment="1">
      <alignment vertical="center"/>
    </xf>
    <xf numFmtId="38" fontId="4" fillId="7" borderId="13" xfId="1" applyFont="1" applyFill="1" applyBorder="1" applyAlignment="1">
      <alignment vertical="center"/>
    </xf>
    <xf numFmtId="38" fontId="4" fillId="7" borderId="154" xfId="1" applyFont="1" applyFill="1" applyBorder="1" applyAlignment="1">
      <alignment vertical="center"/>
    </xf>
    <xf numFmtId="38" fontId="4" fillId="7" borderId="80" xfId="1" applyFont="1" applyFill="1" applyBorder="1" applyAlignment="1">
      <alignment vertical="center"/>
    </xf>
    <xf numFmtId="178" fontId="4" fillId="7" borderId="91" xfId="1" applyNumberFormat="1" applyFont="1" applyFill="1" applyBorder="1" applyAlignment="1">
      <alignment vertical="center"/>
    </xf>
    <xf numFmtId="38" fontId="4" fillId="7" borderId="107" xfId="1" applyFont="1" applyFill="1" applyBorder="1" applyAlignment="1">
      <alignment vertical="center"/>
    </xf>
    <xf numFmtId="3" fontId="4" fillId="7" borderId="10" xfId="0" applyNumberFormat="1" applyFont="1" applyFill="1" applyBorder="1" applyAlignment="1">
      <alignment vertical="center"/>
    </xf>
    <xf numFmtId="3" fontId="4" fillId="7" borderId="19" xfId="0" applyNumberFormat="1" applyFont="1" applyFill="1" applyBorder="1" applyAlignment="1">
      <alignment vertical="center"/>
    </xf>
    <xf numFmtId="3" fontId="4" fillId="7" borderId="47" xfId="0" applyNumberFormat="1" applyFont="1" applyFill="1" applyBorder="1" applyAlignment="1">
      <alignment vertical="center"/>
    </xf>
    <xf numFmtId="3" fontId="4" fillId="7" borderId="29" xfId="0" applyNumberFormat="1" applyFont="1" applyFill="1" applyBorder="1" applyAlignment="1">
      <alignment vertical="center"/>
    </xf>
    <xf numFmtId="3" fontId="4" fillId="7" borderId="23" xfId="0" applyNumberFormat="1" applyFont="1" applyFill="1" applyBorder="1" applyAlignment="1">
      <alignment vertical="center"/>
    </xf>
    <xf numFmtId="3" fontId="4" fillId="7" borderId="99" xfId="0" applyNumberFormat="1" applyFont="1" applyFill="1" applyBorder="1" applyAlignment="1">
      <alignment vertical="center"/>
    </xf>
    <xf numFmtId="3" fontId="4" fillId="7" borderId="89" xfId="0" applyNumberFormat="1" applyFont="1" applyFill="1" applyBorder="1" applyAlignment="1">
      <alignment vertical="center"/>
    </xf>
    <xf numFmtId="3" fontId="4" fillId="7" borderId="6" xfId="0" applyNumberFormat="1" applyFont="1" applyFill="1" applyBorder="1" applyAlignment="1">
      <alignment horizontal="right" vertical="center"/>
    </xf>
    <xf numFmtId="3" fontId="4" fillId="7" borderId="3" xfId="0" applyNumberFormat="1" applyFont="1" applyFill="1" applyBorder="1" applyAlignment="1">
      <alignment horizontal="right" vertical="center"/>
    </xf>
    <xf numFmtId="38" fontId="4" fillId="7" borderId="29" xfId="1" applyFont="1" applyFill="1" applyBorder="1" applyAlignment="1">
      <alignment vertical="center"/>
    </xf>
    <xf numFmtId="178" fontId="4" fillId="7" borderId="29" xfId="1" applyNumberFormat="1" applyFont="1" applyFill="1" applyBorder="1" applyAlignment="1">
      <alignment vertical="center"/>
    </xf>
    <xf numFmtId="38" fontId="4" fillId="7" borderId="6" xfId="1" applyFont="1" applyFill="1" applyBorder="1" applyAlignment="1">
      <alignment vertical="center"/>
    </xf>
    <xf numFmtId="38" fontId="4" fillId="7" borderId="3" xfId="1" applyFont="1" applyFill="1" applyBorder="1" applyAlignment="1">
      <alignment vertical="center"/>
    </xf>
    <xf numFmtId="3" fontId="4" fillId="7" borderId="29" xfId="0" applyNumberFormat="1" applyFont="1" applyFill="1" applyBorder="1" applyAlignment="1">
      <alignment horizontal="right" vertical="center"/>
    </xf>
    <xf numFmtId="3" fontId="4" fillId="7" borderId="157" xfId="0" applyNumberFormat="1" applyFont="1" applyFill="1" applyBorder="1" applyAlignment="1">
      <alignment horizontal="right" vertical="center"/>
    </xf>
    <xf numFmtId="3" fontId="4" fillId="7" borderId="23" xfId="0" applyNumberFormat="1" applyFont="1" applyFill="1" applyBorder="1" applyAlignment="1">
      <alignment horizontal="right" vertical="center"/>
    </xf>
    <xf numFmtId="178" fontId="4" fillId="7" borderId="89" xfId="1" applyNumberFormat="1" applyFont="1" applyFill="1" applyBorder="1" applyAlignment="1">
      <alignment horizontal="right" vertical="center"/>
    </xf>
    <xf numFmtId="38" fontId="4" fillId="7" borderId="108" xfId="1" applyFont="1" applyFill="1" applyBorder="1" applyAlignment="1">
      <alignment vertical="center"/>
    </xf>
    <xf numFmtId="3" fontId="3" fillId="9" borderId="49" xfId="0" applyNumberFormat="1" applyFont="1" applyFill="1" applyBorder="1" applyAlignment="1">
      <alignment horizontal="right" vertical="center"/>
    </xf>
    <xf numFmtId="176" fontId="3" fillId="0" borderId="0" xfId="0" applyNumberFormat="1" applyFont="1" applyBorder="1" applyAlignment="1">
      <alignment horizontal="center" wrapText="1"/>
    </xf>
    <xf numFmtId="176" fontId="4" fillId="8" borderId="0" xfId="0" applyNumberFormat="1" applyFont="1" applyFill="1" applyBorder="1" applyAlignment="1">
      <alignment horizontal="center" wrapText="1"/>
    </xf>
    <xf numFmtId="178" fontId="4" fillId="3" borderId="87" xfId="1" applyNumberFormat="1" applyFont="1" applyFill="1" applyBorder="1" applyAlignment="1">
      <alignment vertical="center"/>
    </xf>
    <xf numFmtId="3" fontId="4" fillId="2" borderId="28" xfId="0" applyNumberFormat="1" applyFont="1" applyFill="1" applyBorder="1" applyAlignment="1">
      <alignment horizontal="right" vertical="center"/>
    </xf>
    <xf numFmtId="3" fontId="4" fillId="2" borderId="24" xfId="0" applyNumberFormat="1" applyFont="1" applyFill="1" applyBorder="1" applyAlignment="1">
      <alignment horizontal="right" vertical="center"/>
    </xf>
    <xf numFmtId="178" fontId="4" fillId="2" borderId="88" xfId="1" applyNumberFormat="1" applyFont="1" applyFill="1" applyBorder="1" applyAlignment="1">
      <alignment vertical="center"/>
    </xf>
    <xf numFmtId="3" fontId="3" fillId="0" borderId="80" xfId="0" applyNumberFormat="1" applyFont="1" applyBorder="1" applyAlignment="1">
      <alignment horizontal="right" vertical="center"/>
    </xf>
    <xf numFmtId="178" fontId="3" fillId="0" borderId="91" xfId="1" applyNumberFormat="1" applyFont="1" applyBorder="1" applyAlignment="1">
      <alignment horizontal="right" vertical="center"/>
    </xf>
    <xf numFmtId="3" fontId="7" fillId="0" borderId="37" xfId="0" applyNumberFormat="1" applyFont="1" applyBorder="1" applyAlignment="1">
      <alignment horizontal="right" vertical="center"/>
    </xf>
    <xf numFmtId="3" fontId="7" fillId="0" borderId="82" xfId="0" applyNumberFormat="1" applyFont="1" applyBorder="1" applyAlignment="1">
      <alignment horizontal="right" vertical="center"/>
    </xf>
    <xf numFmtId="178" fontId="7" fillId="0" borderId="93" xfId="1" applyNumberFormat="1" applyFont="1" applyBorder="1" applyAlignment="1">
      <alignment vertical="center"/>
    </xf>
    <xf numFmtId="3" fontId="3" fillId="0" borderId="29" xfId="0" applyNumberFormat="1" applyFont="1" applyBorder="1" applyAlignment="1">
      <alignment horizontal="right" vertical="center"/>
    </xf>
    <xf numFmtId="3" fontId="3" fillId="0" borderId="23" xfId="0" applyNumberFormat="1" applyFont="1" applyBorder="1" applyAlignment="1">
      <alignment horizontal="right" vertical="center"/>
    </xf>
    <xf numFmtId="3" fontId="4" fillId="2" borderId="23" xfId="0" applyNumberFormat="1" applyFont="1" applyFill="1" applyBorder="1" applyAlignment="1">
      <alignment horizontal="right" vertical="center"/>
    </xf>
    <xf numFmtId="3" fontId="3" fillId="0" borderId="29" xfId="0" applyNumberFormat="1" applyFont="1" applyFill="1" applyBorder="1" applyAlignment="1">
      <alignment horizontal="right" vertical="center"/>
    </xf>
    <xf numFmtId="3" fontId="3" fillId="0" borderId="23" xfId="0" applyNumberFormat="1" applyFont="1" applyFill="1" applyBorder="1" applyAlignment="1">
      <alignment horizontal="right" vertical="center"/>
    </xf>
    <xf numFmtId="178" fontId="3" fillId="0" borderId="89" xfId="1" applyNumberFormat="1" applyFont="1" applyFill="1" applyBorder="1" applyAlignment="1">
      <alignment vertical="center"/>
    </xf>
    <xf numFmtId="3" fontId="3" fillId="4" borderId="31" xfId="0" applyNumberFormat="1" applyFont="1" applyFill="1" applyBorder="1" applyAlignment="1">
      <alignment horizontal="right" vertical="center"/>
    </xf>
    <xf numFmtId="3" fontId="3" fillId="4" borderId="80" xfId="0" applyNumberFormat="1" applyFont="1" applyFill="1" applyBorder="1" applyAlignment="1">
      <alignment horizontal="right" vertical="center"/>
    </xf>
    <xf numFmtId="178" fontId="3" fillId="0" borderId="91" xfId="1" applyNumberFormat="1" applyFont="1" applyBorder="1" applyAlignment="1">
      <alignment vertical="center"/>
    </xf>
    <xf numFmtId="3" fontId="3" fillId="4" borderId="34" xfId="0" applyNumberFormat="1" applyFont="1" applyFill="1" applyBorder="1" applyAlignment="1">
      <alignment horizontal="right" vertical="center"/>
    </xf>
    <xf numFmtId="3" fontId="3" fillId="4" borderId="81" xfId="0" applyNumberFormat="1" applyFont="1" applyFill="1" applyBorder="1" applyAlignment="1">
      <alignment horizontal="right" vertical="center"/>
    </xf>
    <xf numFmtId="3" fontId="3" fillId="0" borderId="37" xfId="0" applyNumberFormat="1" applyFont="1" applyBorder="1" applyAlignment="1">
      <alignment horizontal="right" vertical="center"/>
    </xf>
    <xf numFmtId="3" fontId="3" fillId="0" borderId="82" xfId="0" applyNumberFormat="1" applyFont="1" applyBorder="1" applyAlignment="1">
      <alignment horizontal="right" vertical="center"/>
    </xf>
    <xf numFmtId="3" fontId="3" fillId="0" borderId="29" xfId="0" applyNumberFormat="1" applyFont="1" applyFill="1" applyBorder="1" applyAlignment="1">
      <alignment horizontal="center" vertical="center"/>
    </xf>
    <xf numFmtId="3" fontId="3" fillId="0" borderId="23" xfId="0" applyNumberFormat="1" applyFont="1" applyFill="1" applyBorder="1" applyAlignment="1">
      <alignment horizontal="center" vertical="center"/>
    </xf>
    <xf numFmtId="3" fontId="3" fillId="0" borderId="30" xfId="0" applyNumberFormat="1" applyFont="1" applyBorder="1" applyAlignment="1">
      <alignment horizontal="right" vertical="center"/>
    </xf>
    <xf numFmtId="3" fontId="3" fillId="0" borderId="79" xfId="0" applyNumberFormat="1" applyFont="1" applyBorder="1" applyAlignment="1">
      <alignment horizontal="right" vertical="center"/>
    </xf>
    <xf numFmtId="178" fontId="4" fillId="3" borderId="86" xfId="1" applyNumberFormat="1" applyFont="1" applyFill="1" applyBorder="1" applyAlignment="1">
      <alignment vertical="center"/>
    </xf>
    <xf numFmtId="38" fontId="3" fillId="4" borderId="154" xfId="1" applyFont="1" applyFill="1" applyBorder="1" applyAlignment="1">
      <alignment vertical="center"/>
    </xf>
    <xf numFmtId="38" fontId="4" fillId="7" borderId="157" xfId="1" applyFont="1" applyFill="1" applyBorder="1" applyAlignment="1">
      <alignment vertical="center"/>
    </xf>
    <xf numFmtId="178" fontId="3" fillId="9" borderId="91" xfId="1" applyNumberFormat="1" applyFont="1" applyFill="1" applyBorder="1" applyAlignment="1">
      <alignment vertical="center"/>
    </xf>
    <xf numFmtId="178" fontId="3" fillId="0" borderId="94" xfId="1" applyNumberFormat="1" applyFont="1" applyBorder="1" applyAlignment="1">
      <alignment vertical="center"/>
    </xf>
    <xf numFmtId="38" fontId="3" fillId="4" borderId="162" xfId="1" applyFont="1" applyFill="1" applyBorder="1" applyAlignment="1">
      <alignment vertical="center"/>
    </xf>
    <xf numFmtId="178" fontId="3" fillId="9" borderId="199" xfId="1" applyNumberFormat="1" applyFont="1" applyFill="1" applyBorder="1" applyAlignment="1">
      <alignment vertical="center"/>
    </xf>
    <xf numFmtId="3" fontId="4" fillId="6" borderId="84" xfId="0" applyNumberFormat="1" applyFont="1" applyFill="1" applyBorder="1" applyAlignment="1">
      <alignment horizontal="right" vertical="center"/>
    </xf>
    <xf numFmtId="178" fontId="4" fillId="6" borderId="95" xfId="1" applyNumberFormat="1" applyFont="1" applyFill="1" applyBorder="1" applyAlignment="1">
      <alignment vertical="center"/>
    </xf>
    <xf numFmtId="3" fontId="4" fillId="6" borderId="79" xfId="0" applyNumberFormat="1" applyFont="1" applyFill="1" applyBorder="1" applyAlignment="1">
      <alignment horizontal="right" vertical="center"/>
    </xf>
    <xf numFmtId="38" fontId="3" fillId="0" borderId="24" xfId="0" applyNumberFormat="1" applyFont="1" applyBorder="1" applyAlignment="1">
      <alignment horizontal="right" vertical="center"/>
    </xf>
    <xf numFmtId="38" fontId="3" fillId="3" borderId="29" xfId="0" applyNumberFormat="1" applyFont="1" applyFill="1" applyBorder="1" applyAlignment="1">
      <alignment horizontal="right" vertical="center"/>
    </xf>
    <xf numFmtId="38" fontId="3" fillId="3" borderId="23" xfId="0" applyNumberFormat="1" applyFont="1" applyFill="1" applyBorder="1" applyAlignment="1">
      <alignment horizontal="right" vertical="center"/>
    </xf>
    <xf numFmtId="38" fontId="3" fillId="4" borderId="29" xfId="1" applyNumberFormat="1" applyFont="1" applyFill="1" applyBorder="1" applyAlignment="1">
      <alignment vertical="center"/>
    </xf>
    <xf numFmtId="178" fontId="3" fillId="3" borderId="29" xfId="1" applyNumberFormat="1" applyFont="1" applyFill="1" applyBorder="1" applyAlignment="1">
      <alignment vertical="center"/>
    </xf>
    <xf numFmtId="38" fontId="3" fillId="0" borderId="109" xfId="1" applyNumberFormat="1" applyFont="1" applyBorder="1" applyAlignment="1">
      <alignment vertical="center"/>
    </xf>
    <xf numFmtId="38" fontId="3" fillId="4" borderId="0" xfId="1" applyFont="1" applyFill="1" applyAlignment="1">
      <alignment vertical="center"/>
    </xf>
    <xf numFmtId="3" fontId="10" fillId="0" borderId="37" xfId="1" applyNumberFormat="1" applyFont="1" applyBorder="1" applyAlignment="1">
      <alignment vertical="center"/>
    </xf>
    <xf numFmtId="3" fontId="9" fillId="0" borderId="29" xfId="1" applyNumberFormat="1" applyFont="1" applyBorder="1" applyAlignment="1">
      <alignment vertical="center"/>
    </xf>
    <xf numFmtId="3" fontId="10" fillId="0" borderId="29" xfId="1" applyNumberFormat="1" applyFont="1" applyBorder="1" applyAlignment="1">
      <alignment vertical="center"/>
    </xf>
    <xf numFmtId="3" fontId="9" fillId="0" borderId="29" xfId="1" applyNumberFormat="1" applyFont="1" applyFill="1" applyBorder="1" applyAlignment="1">
      <alignment vertical="center"/>
    </xf>
    <xf numFmtId="3" fontId="9" fillId="0" borderId="31" xfId="1" applyNumberFormat="1" applyFont="1" applyBorder="1" applyAlignment="1">
      <alignment vertical="center"/>
    </xf>
    <xf numFmtId="3" fontId="9" fillId="4" borderId="203" xfId="1" applyNumberFormat="1" applyFont="1" applyFill="1" applyBorder="1" applyAlignment="1">
      <alignment vertical="center"/>
    </xf>
    <xf numFmtId="3" fontId="9" fillId="9" borderId="31" xfId="1" applyNumberFormat="1" applyFont="1" applyFill="1" applyBorder="1" applyAlignment="1">
      <alignment vertical="center"/>
    </xf>
    <xf numFmtId="3" fontId="9" fillId="9" borderId="57" xfId="1" applyNumberFormat="1" applyFont="1" applyFill="1" applyBorder="1" applyAlignment="1">
      <alignment vertical="center"/>
    </xf>
    <xf numFmtId="3" fontId="9" fillId="9" borderId="29" xfId="1" applyNumberFormat="1" applyFont="1" applyFill="1" applyBorder="1" applyAlignment="1">
      <alignment vertical="center"/>
    </xf>
    <xf numFmtId="3" fontId="9" fillId="9" borderId="203" xfId="1" applyNumberFormat="1" applyFont="1" applyFill="1" applyBorder="1" applyAlignment="1">
      <alignment vertical="center"/>
    </xf>
    <xf numFmtId="3" fontId="9" fillId="4" borderId="62" xfId="1" applyNumberFormat="1" applyFont="1" applyFill="1" applyBorder="1" applyAlignment="1">
      <alignment vertical="center"/>
    </xf>
    <xf numFmtId="3" fontId="9" fillId="4" borderId="172" xfId="1" applyNumberFormat="1" applyFont="1" applyFill="1" applyBorder="1" applyAlignment="1">
      <alignment vertical="center"/>
    </xf>
    <xf numFmtId="3" fontId="9" fillId="9" borderId="42" xfId="1" applyNumberFormat="1" applyFont="1" applyFill="1" applyBorder="1" applyAlignment="1">
      <alignment vertical="center"/>
    </xf>
    <xf numFmtId="3" fontId="11" fillId="6" borderId="57" xfId="1" applyNumberFormat="1" applyFont="1" applyFill="1" applyBorder="1" applyAlignment="1">
      <alignment vertical="center"/>
    </xf>
    <xf numFmtId="3" fontId="11" fillId="3" borderId="26" xfId="1" applyNumberFormat="1" applyFont="1" applyFill="1" applyBorder="1" applyAlignment="1">
      <alignment vertical="center"/>
    </xf>
    <xf numFmtId="3" fontId="11" fillId="2" borderId="28" xfId="1" applyNumberFormat="1" applyFont="1" applyFill="1" applyBorder="1" applyAlignment="1">
      <alignment vertical="center"/>
    </xf>
    <xf numFmtId="3" fontId="11" fillId="2" borderId="29" xfId="1" applyNumberFormat="1" applyFont="1" applyFill="1" applyBorder="1" applyAlignment="1">
      <alignment vertical="center"/>
    </xf>
    <xf numFmtId="3" fontId="11" fillId="3" borderId="25" xfId="1" applyNumberFormat="1" applyFont="1" applyFill="1" applyBorder="1" applyAlignment="1">
      <alignment vertical="center"/>
    </xf>
    <xf numFmtId="3" fontId="11" fillId="6" borderId="29" xfId="1" applyNumberFormat="1" applyFont="1" applyFill="1" applyBorder="1" applyAlignment="1">
      <alignment vertical="center"/>
    </xf>
    <xf numFmtId="3" fontId="11" fillId="7" borderId="29" xfId="1" applyNumberFormat="1" applyFont="1" applyFill="1" applyBorder="1" applyAlignment="1">
      <alignment vertical="center"/>
    </xf>
    <xf numFmtId="3" fontId="11" fillId="7" borderId="31" xfId="1" applyNumberFormat="1" applyFont="1" applyFill="1" applyBorder="1" applyAlignment="1">
      <alignment vertical="center"/>
    </xf>
    <xf numFmtId="3" fontId="11" fillId="6" borderId="30" xfId="1" applyNumberFormat="1" applyFont="1" applyFill="1" applyBorder="1" applyAlignment="1">
      <alignment vertical="center"/>
    </xf>
    <xf numFmtId="38" fontId="4" fillId="0" borderId="45" xfId="1" applyFont="1" applyFill="1" applyBorder="1" applyAlignment="1">
      <alignment horizontal="center" vertical="center" wrapText="1"/>
    </xf>
    <xf numFmtId="178" fontId="5" fillId="7" borderId="6" xfId="1" applyNumberFormat="1" applyFont="1" applyFill="1" applyBorder="1" applyAlignment="1">
      <alignment horizontal="left" vertical="center"/>
    </xf>
    <xf numFmtId="178" fontId="7" fillId="9" borderId="40" xfId="1" applyNumberFormat="1" applyFont="1" applyFill="1" applyBorder="1" applyAlignment="1">
      <alignment horizontal="left" vertical="center"/>
    </xf>
    <xf numFmtId="178" fontId="7" fillId="9" borderId="27" xfId="1" applyNumberFormat="1" applyFont="1" applyFill="1" applyBorder="1" applyAlignment="1">
      <alignment horizontal="left" vertical="center"/>
    </xf>
    <xf numFmtId="38" fontId="7" fillId="9" borderId="53" xfId="1" applyFont="1" applyFill="1" applyBorder="1" applyAlignment="1">
      <alignment vertical="center"/>
    </xf>
    <xf numFmtId="38" fontId="7" fillId="0" borderId="37" xfId="1" applyFont="1" applyFill="1" applyBorder="1" applyAlignment="1">
      <alignment vertical="center"/>
    </xf>
    <xf numFmtId="38" fontId="7" fillId="4" borderId="111" xfId="1" applyFont="1" applyFill="1" applyBorder="1" applyAlignment="1">
      <alignment vertical="center"/>
    </xf>
    <xf numFmtId="38" fontId="7" fillId="4" borderId="55" xfId="1" applyFont="1" applyFill="1" applyBorder="1" applyAlignment="1">
      <alignment vertical="center"/>
    </xf>
    <xf numFmtId="38" fontId="7" fillId="4" borderId="160" xfId="1" applyFont="1" applyFill="1" applyBorder="1" applyAlignment="1">
      <alignment vertical="center"/>
    </xf>
    <xf numFmtId="3" fontId="9" fillId="4" borderId="37" xfId="1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3" fontId="3" fillId="0" borderId="132" xfId="0" applyNumberFormat="1" applyFont="1" applyFill="1" applyBorder="1" applyAlignment="1">
      <alignment vertical="center"/>
    </xf>
    <xf numFmtId="3" fontId="3" fillId="0" borderId="50" xfId="0" applyNumberFormat="1" applyFont="1" applyFill="1" applyBorder="1" applyAlignment="1">
      <alignment vertical="center"/>
    </xf>
    <xf numFmtId="3" fontId="3" fillId="0" borderId="34" xfId="0" applyNumberFormat="1" applyFont="1" applyFill="1" applyBorder="1" applyAlignment="1">
      <alignment vertical="center"/>
    </xf>
    <xf numFmtId="3" fontId="3" fillId="0" borderId="81" xfId="0" applyNumberFormat="1" applyFont="1" applyFill="1" applyBorder="1" applyAlignment="1">
      <alignment vertical="center"/>
    </xf>
    <xf numFmtId="3" fontId="3" fillId="0" borderId="102" xfId="0" applyNumberFormat="1" applyFont="1" applyFill="1" applyBorder="1" applyAlignment="1">
      <alignment vertical="center"/>
    </xf>
    <xf numFmtId="3" fontId="3" fillId="0" borderId="92" xfId="0" applyNumberFormat="1" applyFont="1" applyFill="1" applyBorder="1" applyAlignment="1">
      <alignment vertical="center"/>
    </xf>
    <xf numFmtId="3" fontId="3" fillId="0" borderId="35" xfId="0" applyNumberFormat="1" applyFont="1" applyFill="1" applyBorder="1" applyAlignment="1">
      <alignment horizontal="right" vertical="center"/>
    </xf>
    <xf numFmtId="3" fontId="3" fillId="0" borderId="54" xfId="0" applyNumberFormat="1" applyFont="1" applyFill="1" applyBorder="1" applyAlignment="1">
      <alignment horizontal="right" vertical="center"/>
    </xf>
    <xf numFmtId="3" fontId="3" fillId="0" borderId="34" xfId="0" applyNumberFormat="1" applyFont="1" applyFill="1" applyBorder="1" applyAlignment="1">
      <alignment horizontal="right" vertical="center"/>
    </xf>
    <xf numFmtId="3" fontId="3" fillId="0" borderId="81" xfId="0" applyNumberFormat="1" applyFont="1" applyFill="1" applyBorder="1" applyAlignment="1">
      <alignment horizontal="right" vertical="center"/>
    </xf>
    <xf numFmtId="38" fontId="3" fillId="0" borderId="34" xfId="1" applyFont="1" applyFill="1" applyBorder="1" applyAlignment="1">
      <alignment vertical="center"/>
    </xf>
    <xf numFmtId="178" fontId="3" fillId="0" borderId="34" xfId="1" applyNumberFormat="1" applyFont="1" applyFill="1" applyBorder="1" applyAlignment="1">
      <alignment vertical="center"/>
    </xf>
    <xf numFmtId="38" fontId="3" fillId="0" borderId="35" xfId="1" applyFont="1" applyFill="1" applyBorder="1" applyAlignment="1">
      <alignment vertical="center"/>
    </xf>
    <xf numFmtId="38" fontId="3" fillId="0" borderId="54" xfId="1" applyFont="1" applyFill="1" applyBorder="1" applyAlignment="1">
      <alignment vertical="center"/>
    </xf>
    <xf numFmtId="3" fontId="3" fillId="0" borderId="159" xfId="0" applyNumberFormat="1" applyFont="1" applyFill="1" applyBorder="1" applyAlignment="1">
      <alignment horizontal="right" vertical="center"/>
    </xf>
    <xf numFmtId="3" fontId="4" fillId="3" borderId="26" xfId="1" applyNumberFormat="1" applyFont="1" applyFill="1" applyBorder="1" applyAlignment="1">
      <alignment vertical="center"/>
    </xf>
    <xf numFmtId="3" fontId="4" fillId="2" borderId="28" xfId="1" applyNumberFormat="1" applyFont="1" applyFill="1" applyBorder="1" applyAlignment="1">
      <alignment vertical="center"/>
    </xf>
    <xf numFmtId="3" fontId="7" fillId="0" borderId="37" xfId="1" applyNumberFormat="1" applyFont="1" applyBorder="1" applyAlignment="1">
      <alignment vertical="center"/>
    </xf>
    <xf numFmtId="3" fontId="4" fillId="2" borderId="29" xfId="1" applyNumberFormat="1" applyFont="1" applyFill="1" applyBorder="1" applyAlignment="1">
      <alignment vertical="center"/>
    </xf>
    <xf numFmtId="3" fontId="3" fillId="0" borderId="29" xfId="1" applyNumberFormat="1" applyFont="1" applyBorder="1" applyAlignment="1">
      <alignment vertical="center"/>
    </xf>
    <xf numFmtId="3" fontId="7" fillId="0" borderId="29" xfId="1" applyNumberFormat="1" applyFont="1" applyBorder="1" applyAlignment="1">
      <alignment vertical="center"/>
    </xf>
    <xf numFmtId="3" fontId="3" fillId="0" borderId="29" xfId="1" applyNumberFormat="1" applyFont="1" applyFill="1" applyBorder="1" applyAlignment="1">
      <alignment vertical="center"/>
    </xf>
    <xf numFmtId="3" fontId="3" fillId="0" borderId="31" xfId="1" applyNumberFormat="1" applyFont="1" applyBorder="1" applyAlignment="1">
      <alignment vertical="center"/>
    </xf>
    <xf numFmtId="3" fontId="4" fillId="3" borderId="25" xfId="1" applyNumberFormat="1" applyFont="1" applyFill="1" applyBorder="1" applyAlignment="1">
      <alignment vertical="center"/>
    </xf>
    <xf numFmtId="3" fontId="4" fillId="6" borderId="29" xfId="1" applyNumberFormat="1" applyFont="1" applyFill="1" applyBorder="1" applyAlignment="1">
      <alignment vertical="center"/>
    </xf>
    <xf numFmtId="3" fontId="4" fillId="7" borderId="31" xfId="1" applyNumberFormat="1" applyFont="1" applyFill="1" applyBorder="1" applyAlignment="1">
      <alignment vertical="center"/>
    </xf>
    <xf numFmtId="3" fontId="3" fillId="4" borderId="203" xfId="1" applyNumberFormat="1" applyFont="1" applyFill="1" applyBorder="1" applyAlignment="1">
      <alignment vertical="center"/>
    </xf>
    <xf numFmtId="3" fontId="4" fillId="7" borderId="29" xfId="1" applyNumberFormat="1" applyFont="1" applyFill="1" applyBorder="1" applyAlignment="1">
      <alignment vertical="center"/>
    </xf>
    <xf numFmtId="3" fontId="3" fillId="9" borderId="31" xfId="1" applyNumberFormat="1" applyFont="1" applyFill="1" applyBorder="1" applyAlignment="1">
      <alignment vertical="center"/>
    </xf>
    <xf numFmtId="3" fontId="3" fillId="9" borderId="57" xfId="1" applyNumberFormat="1" applyFont="1" applyFill="1" applyBorder="1" applyAlignment="1">
      <alignment vertical="center"/>
    </xf>
    <xf numFmtId="3" fontId="3" fillId="9" borderId="29" xfId="1" applyNumberFormat="1" applyFont="1" applyFill="1" applyBorder="1" applyAlignment="1">
      <alignment vertical="center"/>
    </xf>
    <xf numFmtId="3" fontId="7" fillId="9" borderId="31" xfId="1" applyNumberFormat="1" applyFont="1" applyFill="1" applyBorder="1" applyAlignment="1">
      <alignment vertical="center"/>
    </xf>
    <xf numFmtId="3" fontId="3" fillId="9" borderId="203" xfId="1" applyNumberFormat="1" applyFont="1" applyFill="1" applyBorder="1" applyAlignment="1">
      <alignment vertical="center"/>
    </xf>
    <xf numFmtId="3" fontId="3" fillId="4" borderId="62" xfId="1" applyNumberFormat="1" applyFont="1" applyFill="1" applyBorder="1" applyAlignment="1">
      <alignment vertical="center"/>
    </xf>
    <xf numFmtId="3" fontId="3" fillId="4" borderId="172" xfId="1" applyNumberFormat="1" applyFont="1" applyFill="1" applyBorder="1" applyAlignment="1">
      <alignment vertical="center"/>
    </xf>
    <xf numFmtId="3" fontId="3" fillId="4" borderId="37" xfId="1" applyNumberFormat="1" applyFont="1" applyFill="1" applyBorder="1" applyAlignment="1">
      <alignment vertical="center"/>
    </xf>
    <xf numFmtId="3" fontId="3" fillId="9" borderId="42" xfId="1" applyNumberFormat="1" applyFont="1" applyFill="1" applyBorder="1" applyAlignment="1">
      <alignment vertical="center"/>
    </xf>
    <xf numFmtId="3" fontId="4" fillId="6" borderId="57" xfId="1" applyNumberFormat="1" applyFont="1" applyFill="1" applyBorder="1" applyAlignment="1">
      <alignment vertical="center"/>
    </xf>
    <xf numFmtId="3" fontId="4" fillId="6" borderId="30" xfId="1" applyNumberFormat="1" applyFont="1" applyFill="1" applyBorder="1" applyAlignment="1">
      <alignment vertical="center"/>
    </xf>
    <xf numFmtId="3" fontId="3" fillId="0" borderId="28" xfId="1" applyNumberFormat="1" applyFont="1" applyBorder="1" applyAlignment="1">
      <alignment vertical="center"/>
    </xf>
    <xf numFmtId="3" fontId="12" fillId="2" borderId="29" xfId="1" applyNumberFormat="1" applyFont="1" applyFill="1" applyBorder="1" applyAlignment="1">
      <alignment vertical="center"/>
    </xf>
    <xf numFmtId="178" fontId="7" fillId="7" borderId="40" xfId="1" applyNumberFormat="1" applyFont="1" applyFill="1" applyBorder="1" applyAlignment="1">
      <alignment vertical="center"/>
    </xf>
    <xf numFmtId="3" fontId="9" fillId="0" borderId="28" xfId="1" applyNumberFormat="1" applyFont="1" applyBorder="1" applyAlignment="1">
      <alignment vertical="center"/>
    </xf>
    <xf numFmtId="176" fontId="3" fillId="0" borderId="171" xfId="0" applyNumberFormat="1" applyFont="1" applyBorder="1" applyAlignment="1">
      <alignment horizontal="center" wrapText="1"/>
    </xf>
    <xf numFmtId="38" fontId="4" fillId="0" borderId="25" xfId="1" applyFont="1" applyFill="1" applyBorder="1" applyAlignment="1">
      <alignment horizontal="center" vertical="center" wrapText="1"/>
    </xf>
    <xf numFmtId="3" fontId="9" fillId="9" borderId="80" xfId="1" applyNumberFormat="1" applyFont="1" applyFill="1" applyBorder="1" applyAlignment="1">
      <alignment vertical="center"/>
    </xf>
    <xf numFmtId="3" fontId="9" fillId="4" borderId="83" xfId="1" applyNumberFormat="1" applyFont="1" applyFill="1" applyBorder="1" applyAlignment="1">
      <alignment vertical="center"/>
    </xf>
    <xf numFmtId="3" fontId="9" fillId="4" borderId="189" xfId="1" applyNumberFormat="1" applyFont="1" applyFill="1" applyBorder="1" applyAlignment="1">
      <alignment vertical="center"/>
    </xf>
    <xf numFmtId="3" fontId="9" fillId="4" borderId="82" xfId="1" applyNumberFormat="1" applyFont="1" applyFill="1" applyBorder="1" applyAlignment="1">
      <alignment vertical="center"/>
    </xf>
    <xf numFmtId="3" fontId="9" fillId="9" borderId="164" xfId="1" applyNumberFormat="1" applyFont="1" applyFill="1" applyBorder="1" applyAlignment="1">
      <alignment vertical="center"/>
    </xf>
    <xf numFmtId="3" fontId="9" fillId="6" borderId="84" xfId="1" applyNumberFormat="1" applyFont="1" applyFill="1" applyBorder="1" applyAlignment="1">
      <alignment vertical="center"/>
    </xf>
    <xf numFmtId="3" fontId="9" fillId="6" borderId="79" xfId="1" applyNumberFormat="1" applyFont="1" applyFill="1" applyBorder="1" applyAlignment="1">
      <alignment vertical="center"/>
    </xf>
    <xf numFmtId="3" fontId="10" fillId="0" borderId="82" xfId="1" applyNumberFormat="1" applyFont="1" applyBorder="1" applyAlignment="1">
      <alignment vertical="center"/>
    </xf>
    <xf numFmtId="3" fontId="10" fillId="0" borderId="23" xfId="1" applyNumberFormat="1" applyFont="1" applyBorder="1" applyAlignment="1">
      <alignment vertical="center"/>
    </xf>
    <xf numFmtId="38" fontId="4" fillId="0" borderId="152" xfId="1" applyFont="1" applyFill="1" applyBorder="1" applyAlignment="1">
      <alignment horizontal="center" vertical="center" wrapText="1"/>
    </xf>
    <xf numFmtId="38" fontId="13" fillId="6" borderId="25" xfId="1" applyFont="1" applyFill="1" applyBorder="1" applyAlignment="1">
      <alignment horizontal="center" vertical="center" wrapText="1"/>
    </xf>
    <xf numFmtId="38" fontId="4" fillId="6" borderId="22" xfId="1" applyFont="1" applyFill="1" applyBorder="1" applyAlignment="1">
      <alignment horizontal="center" vertical="center" wrapText="1"/>
    </xf>
    <xf numFmtId="3" fontId="10" fillId="0" borderId="31" xfId="1" applyNumberFormat="1" applyFont="1" applyBorder="1" applyAlignment="1">
      <alignment vertical="center"/>
    </xf>
    <xf numFmtId="3" fontId="10" fillId="0" borderId="80" xfId="1" applyNumberFormat="1" applyFont="1" applyBorder="1" applyAlignment="1">
      <alignment vertical="center"/>
    </xf>
    <xf numFmtId="3" fontId="10" fillId="0" borderId="134" xfId="1" applyNumberFormat="1" applyFont="1" applyBorder="1" applyAlignment="1">
      <alignment vertical="center"/>
    </xf>
    <xf numFmtId="3" fontId="15" fillId="0" borderId="119" xfId="1" applyNumberFormat="1" applyFont="1" applyFill="1" applyBorder="1" applyAlignment="1">
      <alignment vertical="center"/>
    </xf>
    <xf numFmtId="3" fontId="15" fillId="0" borderId="136" xfId="1" applyNumberFormat="1" applyFont="1" applyFill="1" applyBorder="1" applyAlignment="1">
      <alignment vertical="center"/>
    </xf>
    <xf numFmtId="3" fontId="15" fillId="0" borderId="123" xfId="1" applyNumberFormat="1" applyFont="1" applyFill="1" applyBorder="1" applyAlignment="1">
      <alignment vertical="center"/>
    </xf>
    <xf numFmtId="3" fontId="15" fillId="0" borderId="137" xfId="1" applyNumberFormat="1" applyFont="1" applyFill="1" applyBorder="1" applyAlignment="1">
      <alignment vertical="center"/>
    </xf>
    <xf numFmtId="3" fontId="10" fillId="0" borderId="134" xfId="1" applyNumberFormat="1" applyFont="1" applyFill="1" applyBorder="1" applyAlignment="1">
      <alignment vertical="center"/>
    </xf>
    <xf numFmtId="3" fontId="15" fillId="4" borderId="119" xfId="1" applyNumberFormat="1" applyFont="1" applyFill="1" applyBorder="1" applyAlignment="1">
      <alignment vertical="center"/>
    </xf>
    <xf numFmtId="3" fontId="15" fillId="0" borderId="136" xfId="1" applyNumberFormat="1" applyFont="1" applyBorder="1" applyAlignment="1">
      <alignment vertical="center"/>
    </xf>
    <xf numFmtId="3" fontId="15" fillId="0" borderId="172" xfId="1" applyNumberFormat="1" applyFont="1" applyBorder="1" applyAlignment="1">
      <alignment vertical="center"/>
    </xf>
    <xf numFmtId="3" fontId="15" fillId="0" borderId="189" xfId="1" applyNumberFormat="1" applyFont="1" applyBorder="1" applyAlignment="1">
      <alignment vertical="center"/>
    </xf>
    <xf numFmtId="3" fontId="10" fillId="0" borderId="34" xfId="1" applyNumberFormat="1" applyFont="1" applyBorder="1" applyAlignment="1">
      <alignment vertical="center"/>
    </xf>
    <xf numFmtId="3" fontId="10" fillId="0" borderId="29" xfId="1" applyNumberFormat="1" applyFont="1" applyFill="1" applyBorder="1" applyAlignment="1">
      <alignment vertical="center"/>
    </xf>
    <xf numFmtId="3" fontId="10" fillId="0" borderId="30" xfId="1" applyNumberFormat="1" applyFont="1" applyBorder="1" applyAlignment="1">
      <alignment vertical="center"/>
    </xf>
    <xf numFmtId="3" fontId="10" fillId="0" borderId="79" xfId="1" applyNumberFormat="1" applyFont="1" applyBorder="1" applyAlignment="1">
      <alignment vertical="center"/>
    </xf>
    <xf numFmtId="3" fontId="10" fillId="2" borderId="29" xfId="1" applyNumberFormat="1" applyFont="1" applyFill="1" applyBorder="1" applyAlignment="1">
      <alignment vertical="center"/>
    </xf>
    <xf numFmtId="3" fontId="10" fillId="2" borderId="23" xfId="1" applyNumberFormat="1" applyFont="1" applyFill="1" applyBorder="1" applyAlignment="1">
      <alignment vertical="center"/>
    </xf>
    <xf numFmtId="3" fontId="9" fillId="0" borderId="34" xfId="1" applyNumberFormat="1" applyFont="1" applyFill="1" applyBorder="1" applyAlignment="1">
      <alignment vertical="center"/>
    </xf>
    <xf numFmtId="3" fontId="7" fillId="4" borderId="34" xfId="1" applyNumberFormat="1" applyFont="1" applyFill="1" applyBorder="1" applyAlignment="1">
      <alignment vertical="center" wrapText="1"/>
    </xf>
    <xf numFmtId="3" fontId="10" fillId="4" borderId="34" xfId="1" applyNumberFormat="1" applyFont="1" applyFill="1" applyBorder="1" applyAlignment="1">
      <alignment vertical="center" wrapText="1"/>
    </xf>
    <xf numFmtId="3" fontId="10" fillId="0" borderId="34" xfId="1" applyNumberFormat="1" applyFont="1" applyFill="1" applyBorder="1" applyAlignment="1">
      <alignment vertical="center"/>
    </xf>
    <xf numFmtId="3" fontId="9" fillId="4" borderId="60" xfId="1" applyNumberFormat="1" applyFont="1" applyFill="1" applyBorder="1" applyAlignment="1">
      <alignment vertical="center" wrapText="1"/>
    </xf>
    <xf numFmtId="3" fontId="9" fillId="4" borderId="85" xfId="1" applyNumberFormat="1" applyFont="1" applyFill="1" applyBorder="1" applyAlignment="1">
      <alignment vertical="center" wrapText="1"/>
    </xf>
    <xf numFmtId="3" fontId="10" fillId="0" borderId="81" xfId="1" applyNumberFormat="1" applyFont="1" applyFill="1" applyBorder="1" applyAlignment="1">
      <alignment vertical="center"/>
    </xf>
    <xf numFmtId="3" fontId="10" fillId="0" borderId="37" xfId="1" applyNumberFormat="1" applyFont="1" applyFill="1" applyBorder="1" applyAlignment="1">
      <alignment vertical="center"/>
    </xf>
    <xf numFmtId="3" fontId="10" fillId="0" borderId="82" xfId="1" applyNumberFormat="1" applyFont="1" applyFill="1" applyBorder="1" applyAlignment="1">
      <alignment vertical="center"/>
    </xf>
    <xf numFmtId="3" fontId="10" fillId="4" borderId="62" xfId="1" applyNumberFormat="1" applyFont="1" applyFill="1" applyBorder="1" applyAlignment="1">
      <alignment vertical="center"/>
    </xf>
    <xf numFmtId="3" fontId="10" fillId="0" borderId="83" xfId="1" applyNumberFormat="1" applyFont="1" applyFill="1" applyBorder="1" applyAlignment="1">
      <alignment vertical="center"/>
    </xf>
    <xf numFmtId="3" fontId="10" fillId="0" borderId="81" xfId="1" applyNumberFormat="1" applyFont="1" applyBorder="1" applyAlignment="1">
      <alignment vertical="center"/>
    </xf>
    <xf numFmtId="3" fontId="10" fillId="4" borderId="34" xfId="1" applyNumberFormat="1" applyFont="1" applyFill="1" applyBorder="1" applyAlignment="1">
      <alignment vertical="center"/>
    </xf>
    <xf numFmtId="3" fontId="10" fillId="4" borderId="81" xfId="1" applyNumberFormat="1" applyFont="1" applyFill="1" applyBorder="1" applyAlignment="1">
      <alignment vertical="center"/>
    </xf>
    <xf numFmtId="3" fontId="10" fillId="0" borderId="62" xfId="1" applyNumberFormat="1" applyFont="1" applyFill="1" applyBorder="1" applyAlignment="1">
      <alignment vertical="center"/>
    </xf>
    <xf numFmtId="3" fontId="9" fillId="0" borderId="37" xfId="1" applyNumberFormat="1" applyFont="1" applyFill="1" applyBorder="1" applyAlignment="1">
      <alignment vertical="center"/>
    </xf>
    <xf numFmtId="3" fontId="9" fillId="0" borderId="82" xfId="1" applyNumberFormat="1" applyFont="1" applyFill="1" applyBorder="1" applyAlignment="1">
      <alignment vertical="center"/>
    </xf>
    <xf numFmtId="3" fontId="9" fillId="0" borderId="37" xfId="1" applyNumberFormat="1" applyFont="1" applyBorder="1" applyAlignment="1">
      <alignment vertical="center"/>
    </xf>
    <xf numFmtId="3" fontId="9" fillId="0" borderId="82" xfId="1" applyNumberFormat="1" applyFont="1" applyBorder="1" applyAlignment="1">
      <alignment vertical="center"/>
    </xf>
    <xf numFmtId="3" fontId="10" fillId="4" borderId="119" xfId="1" applyNumberFormat="1" applyFont="1" applyFill="1" applyBorder="1" applyAlignment="1">
      <alignment vertical="center"/>
    </xf>
    <xf numFmtId="3" fontId="10" fillId="4" borderId="136" xfId="1" applyNumberFormat="1" applyFont="1" applyFill="1" applyBorder="1" applyAlignment="1">
      <alignment vertical="center"/>
    </xf>
    <xf numFmtId="3" fontId="9" fillId="4" borderId="123" xfId="1" applyNumberFormat="1" applyFont="1" applyFill="1" applyBorder="1" applyAlignment="1">
      <alignment vertical="center"/>
    </xf>
    <xf numFmtId="3" fontId="9" fillId="4" borderId="137" xfId="1" applyNumberFormat="1" applyFont="1" applyFill="1" applyBorder="1" applyAlignment="1">
      <alignment vertical="center"/>
    </xf>
    <xf numFmtId="3" fontId="10" fillId="4" borderId="83" xfId="1" applyNumberFormat="1" applyFont="1" applyFill="1" applyBorder="1" applyAlignment="1">
      <alignment vertical="center"/>
    </xf>
    <xf numFmtId="3" fontId="10" fillId="4" borderId="123" xfId="1" applyNumberFormat="1" applyFont="1" applyFill="1" applyBorder="1" applyAlignment="1">
      <alignment vertical="center"/>
    </xf>
    <xf numFmtId="3" fontId="10" fillId="4" borderId="137" xfId="1" applyNumberFormat="1" applyFont="1" applyFill="1" applyBorder="1" applyAlignment="1">
      <alignment vertical="center"/>
    </xf>
    <xf numFmtId="3" fontId="9" fillId="0" borderId="81" xfId="1" applyNumberFormat="1" applyFont="1" applyFill="1" applyBorder="1" applyAlignment="1">
      <alignment vertical="center"/>
    </xf>
    <xf numFmtId="3" fontId="9" fillId="0" borderId="62" xfId="1" applyNumberFormat="1" applyFont="1" applyFill="1" applyBorder="1" applyAlignment="1">
      <alignment vertical="center"/>
    </xf>
    <xf numFmtId="3" fontId="9" fillId="0" borderId="83" xfId="1" applyNumberFormat="1" applyFont="1" applyFill="1" applyBorder="1" applyAlignment="1">
      <alignment vertical="center"/>
    </xf>
    <xf numFmtId="3" fontId="9" fillId="7" borderId="164" xfId="1" applyNumberFormat="1" applyFont="1" applyFill="1" applyBorder="1" applyAlignment="1">
      <alignment vertical="center"/>
    </xf>
    <xf numFmtId="3" fontId="11" fillId="7" borderId="42" xfId="1" applyNumberFormat="1" applyFont="1" applyFill="1" applyBorder="1" applyAlignment="1">
      <alignment vertical="center"/>
    </xf>
    <xf numFmtId="3" fontId="10" fillId="0" borderId="60" xfId="1" applyNumberFormat="1" applyFont="1" applyFill="1" applyBorder="1" applyAlignment="1">
      <alignment vertical="center"/>
    </xf>
    <xf numFmtId="3" fontId="10" fillId="0" borderId="85" xfId="1" applyNumberFormat="1" applyFont="1" applyFill="1" applyBorder="1" applyAlignment="1">
      <alignment vertical="center"/>
    </xf>
    <xf numFmtId="3" fontId="10" fillId="4" borderId="81" xfId="1" applyNumberFormat="1" applyFont="1" applyFill="1" applyBorder="1" applyAlignment="1">
      <alignment vertical="center" wrapText="1"/>
    </xf>
    <xf numFmtId="3" fontId="10" fillId="4" borderId="37" xfId="1" applyNumberFormat="1" applyFont="1" applyFill="1" applyBorder="1" applyAlignment="1">
      <alignment vertical="center"/>
    </xf>
    <xf numFmtId="3" fontId="10" fillId="4" borderId="82" xfId="1" applyNumberFormat="1" applyFont="1" applyFill="1" applyBorder="1" applyAlignment="1">
      <alignment vertical="center"/>
    </xf>
    <xf numFmtId="38" fontId="3" fillId="0" borderId="13" xfId="1" applyFont="1" applyBorder="1" applyAlignment="1">
      <alignment horizontal="right" vertical="center"/>
    </xf>
    <xf numFmtId="0" fontId="3" fillId="0" borderId="0" xfId="0" applyFont="1">
      <alignment vertical="center"/>
    </xf>
    <xf numFmtId="0" fontId="3" fillId="10" borderId="0" xfId="0" applyFont="1" applyFill="1" applyAlignment="1">
      <alignment horizontal="center" vertical="center"/>
    </xf>
    <xf numFmtId="0" fontId="3" fillId="10" borderId="209" xfId="0" applyFont="1" applyFill="1" applyBorder="1" applyAlignment="1">
      <alignment vertical="center" wrapText="1"/>
    </xf>
    <xf numFmtId="0" fontId="3" fillId="10" borderId="0" xfId="0" applyFont="1" applyFill="1">
      <alignment vertical="center"/>
    </xf>
    <xf numFmtId="0" fontId="3" fillId="10" borderId="212" xfId="0" applyFont="1" applyFill="1" applyBorder="1" applyAlignment="1">
      <alignment horizontal="center" vertical="center" wrapText="1"/>
    </xf>
    <xf numFmtId="0" fontId="3" fillId="10" borderId="212" xfId="0" applyFont="1" applyFill="1" applyBorder="1" applyAlignment="1">
      <alignment vertical="center" wrapText="1"/>
    </xf>
    <xf numFmtId="0" fontId="5" fillId="10" borderId="215" xfId="0" applyFont="1" applyFill="1" applyBorder="1" applyAlignment="1">
      <alignment vertical="center" wrapText="1"/>
    </xf>
    <xf numFmtId="49" fontId="5" fillId="10" borderId="216" xfId="0" applyNumberFormat="1" applyFont="1" applyFill="1" applyBorder="1" applyAlignment="1">
      <alignment horizontal="left" vertical="center" wrapText="1"/>
    </xf>
    <xf numFmtId="0" fontId="7" fillId="10" borderId="215" xfId="0" applyFont="1" applyFill="1" applyBorder="1" applyAlignment="1">
      <alignment vertical="center" wrapText="1"/>
    </xf>
    <xf numFmtId="49" fontId="7" fillId="10" borderId="216" xfId="0" applyNumberFormat="1" applyFont="1" applyFill="1" applyBorder="1" applyAlignment="1">
      <alignment horizontal="left" vertical="center" wrapText="1"/>
    </xf>
    <xf numFmtId="0" fontId="7" fillId="10" borderId="231" xfId="0" applyFont="1" applyFill="1" applyBorder="1" applyAlignment="1">
      <alignment vertical="center" wrapText="1"/>
    </xf>
    <xf numFmtId="0" fontId="17" fillId="10" borderId="232" xfId="0" applyFont="1" applyFill="1" applyBorder="1" applyAlignment="1">
      <alignment vertical="center" shrinkToFit="1"/>
    </xf>
    <xf numFmtId="0" fontId="7" fillId="10" borderId="232" xfId="0" applyFont="1" applyFill="1" applyBorder="1" applyAlignment="1">
      <alignment vertical="center" wrapText="1"/>
    </xf>
    <xf numFmtId="0" fontId="19" fillId="10" borderId="223" xfId="0" applyFont="1" applyFill="1" applyBorder="1" applyAlignment="1">
      <alignment vertical="center" wrapText="1"/>
    </xf>
    <xf numFmtId="0" fontId="19" fillId="10" borderId="0" xfId="0" applyFont="1" applyFill="1" applyAlignment="1">
      <alignment vertical="center" wrapText="1"/>
    </xf>
    <xf numFmtId="180" fontId="3" fillId="10" borderId="0" xfId="0" applyNumberFormat="1" applyFont="1" applyFill="1">
      <alignment vertical="center"/>
    </xf>
    <xf numFmtId="0" fontId="19" fillId="10" borderId="233" xfId="0" applyFont="1" applyFill="1" applyBorder="1" applyAlignment="1">
      <alignment vertical="center" wrapText="1"/>
    </xf>
    <xf numFmtId="0" fontId="19" fillId="10" borderId="234" xfId="0" applyFont="1" applyFill="1" applyBorder="1" applyAlignment="1">
      <alignment vertical="center" wrapText="1"/>
    </xf>
    <xf numFmtId="0" fontId="3" fillId="10" borderId="231" xfId="0" applyFont="1" applyFill="1" applyBorder="1" applyAlignment="1">
      <alignment vertical="center" wrapText="1"/>
    </xf>
    <xf numFmtId="0" fontId="19" fillId="0" borderId="0" xfId="0" applyFont="1">
      <alignment vertical="center"/>
    </xf>
    <xf numFmtId="179" fontId="19" fillId="4" borderId="223" xfId="1" applyNumberFormat="1" applyFont="1" applyFill="1" applyBorder="1" applyAlignment="1">
      <alignment horizontal="right" vertical="center" shrinkToFit="1"/>
    </xf>
    <xf numFmtId="179" fontId="19" fillId="4" borderId="0" xfId="1" applyNumberFormat="1" applyFont="1" applyFill="1" applyBorder="1" applyAlignment="1">
      <alignment horizontal="right" vertical="center" shrinkToFit="1"/>
    </xf>
    <xf numFmtId="179" fontId="19" fillId="4" borderId="224" xfId="1" applyNumberFormat="1" applyFont="1" applyFill="1" applyBorder="1" applyAlignment="1">
      <alignment horizontal="right" vertical="center" shrinkToFit="1"/>
    </xf>
    <xf numFmtId="0" fontId="8" fillId="0" borderId="0" xfId="0" applyFont="1" applyAlignment="1">
      <alignment vertical="center"/>
    </xf>
    <xf numFmtId="179" fontId="3" fillId="10" borderId="0" xfId="0" applyNumberFormat="1" applyFont="1" applyFill="1">
      <alignment vertical="center"/>
    </xf>
    <xf numFmtId="3" fontId="15" fillId="4" borderId="136" xfId="1" applyNumberFormat="1" applyFont="1" applyFill="1" applyBorder="1" applyAlignment="1">
      <alignment vertical="center"/>
    </xf>
    <xf numFmtId="38" fontId="4" fillId="0" borderId="78" xfId="1" applyFont="1" applyFill="1" applyBorder="1" applyAlignment="1">
      <alignment horizontal="center" vertical="center" wrapText="1"/>
    </xf>
    <xf numFmtId="38" fontId="20" fillId="0" borderId="86" xfId="1" applyFont="1" applyBorder="1" applyAlignment="1">
      <alignment horizontal="center" vertical="center" wrapText="1"/>
    </xf>
    <xf numFmtId="178" fontId="5" fillId="3" borderId="45" xfId="1" applyNumberFormat="1" applyFont="1" applyFill="1" applyBorder="1" applyAlignment="1">
      <alignment vertical="center"/>
    </xf>
    <xf numFmtId="38" fontId="7" fillId="2" borderId="5" xfId="1" applyFont="1" applyFill="1" applyBorder="1" applyAlignment="1">
      <alignment vertical="center"/>
    </xf>
    <xf numFmtId="3" fontId="7" fillId="0" borderId="31" xfId="1" applyNumberFormat="1" applyFont="1" applyBorder="1" applyAlignment="1">
      <alignment vertical="center"/>
    </xf>
    <xf numFmtId="3" fontId="7" fillId="0" borderId="112" xfId="0" applyNumberFormat="1" applyFont="1" applyBorder="1" applyAlignment="1">
      <alignment vertical="center"/>
    </xf>
    <xf numFmtId="3" fontId="7" fillId="0" borderId="195" xfId="0" applyNumberFormat="1" applyFont="1" applyBorder="1" applyAlignment="1">
      <alignment vertical="center"/>
    </xf>
    <xf numFmtId="3" fontId="7" fillId="0" borderId="178" xfId="0" applyNumberFormat="1" applyFont="1" applyBorder="1" applyAlignment="1">
      <alignment vertical="center"/>
    </xf>
    <xf numFmtId="3" fontId="7" fillId="0" borderId="193" xfId="0" applyNumberFormat="1" applyFont="1" applyBorder="1" applyAlignment="1">
      <alignment horizontal="right" vertical="center"/>
    </xf>
    <xf numFmtId="3" fontId="7" fillId="0" borderId="163" xfId="0" applyNumberFormat="1" applyFont="1" applyBorder="1" applyAlignment="1">
      <alignment vertical="center"/>
    </xf>
    <xf numFmtId="3" fontId="7" fillId="0" borderId="134" xfId="0" applyNumberFormat="1" applyFont="1" applyBorder="1" applyAlignment="1">
      <alignment horizontal="right" vertical="center"/>
    </xf>
    <xf numFmtId="3" fontId="7" fillId="0" borderId="194" xfId="0" applyNumberFormat="1" applyFont="1" applyBorder="1" applyAlignment="1">
      <alignment horizontal="right" vertical="center"/>
    </xf>
    <xf numFmtId="38" fontId="7" fillId="0" borderId="134" xfId="1" applyFont="1" applyBorder="1" applyAlignment="1">
      <alignment vertical="center"/>
    </xf>
    <xf numFmtId="178" fontId="7" fillId="0" borderId="84" xfId="1" applyNumberFormat="1" applyFont="1" applyBorder="1" applyAlignment="1">
      <alignment vertical="center"/>
    </xf>
    <xf numFmtId="38" fontId="7" fillId="0" borderId="84" xfId="1" applyFont="1" applyBorder="1" applyAlignment="1">
      <alignment vertical="center"/>
    </xf>
    <xf numFmtId="38" fontId="7" fillId="0" borderId="125" xfId="1" applyFont="1" applyBorder="1" applyAlignment="1">
      <alignment vertical="center"/>
    </xf>
    <xf numFmtId="38" fontId="7" fillId="0" borderId="196" xfId="1" applyFont="1" applyBorder="1" applyAlignment="1">
      <alignment horizontal="right" vertical="center"/>
    </xf>
    <xf numFmtId="38" fontId="7" fillId="0" borderId="194" xfId="1" applyFont="1" applyBorder="1" applyAlignment="1">
      <alignment horizontal="right" vertical="center"/>
    </xf>
    <xf numFmtId="178" fontId="7" fillId="0" borderId="178" xfId="1" applyNumberFormat="1" applyFont="1" applyBorder="1" applyAlignment="1">
      <alignment horizontal="right" vertical="center"/>
    </xf>
    <xf numFmtId="38" fontId="7" fillId="0" borderId="146" xfId="1" applyFont="1" applyBorder="1" applyAlignment="1">
      <alignment horizontal="right" vertical="center"/>
    </xf>
    <xf numFmtId="38" fontId="7" fillId="0" borderId="163" xfId="1" applyFont="1" applyBorder="1" applyAlignment="1">
      <alignment horizontal="right" vertical="center"/>
    </xf>
    <xf numFmtId="38" fontId="7" fillId="0" borderId="196" xfId="1" applyFont="1" applyBorder="1" applyAlignment="1">
      <alignment vertical="center"/>
    </xf>
    <xf numFmtId="3" fontId="7" fillId="0" borderId="134" xfId="1" applyNumberFormat="1" applyFont="1" applyBorder="1" applyAlignment="1">
      <alignment vertical="center"/>
    </xf>
    <xf numFmtId="38" fontId="7" fillId="0" borderId="193" xfId="1" applyFont="1" applyBorder="1" applyAlignment="1">
      <alignment vertical="center"/>
    </xf>
    <xf numFmtId="3" fontId="6" fillId="0" borderId="141" xfId="0" applyNumberFormat="1" applyFont="1" applyBorder="1" applyAlignment="1">
      <alignment vertical="center"/>
    </xf>
    <xf numFmtId="3" fontId="6" fillId="0" borderId="119" xfId="0" applyNumberFormat="1" applyFont="1" applyBorder="1" applyAlignment="1">
      <alignment horizontal="right" vertical="center"/>
    </xf>
    <xf numFmtId="3" fontId="6" fillId="0" borderId="136" xfId="0" applyNumberFormat="1" applyFont="1" applyBorder="1" applyAlignment="1">
      <alignment horizontal="right" vertical="center"/>
    </xf>
    <xf numFmtId="38" fontId="6" fillId="0" borderId="119" xfId="1" applyFont="1" applyBorder="1" applyAlignment="1">
      <alignment vertical="center"/>
    </xf>
    <xf numFmtId="178" fontId="6" fillId="0" borderId="136" xfId="1" applyNumberFormat="1" applyFont="1" applyBorder="1" applyAlignment="1">
      <alignment vertical="center"/>
    </xf>
    <xf numFmtId="38" fontId="7" fillId="0" borderId="136" xfId="1" applyFont="1" applyBorder="1" applyAlignment="1">
      <alignment vertical="center"/>
    </xf>
    <xf numFmtId="38" fontId="6" fillId="0" borderId="119" xfId="1" applyFont="1" applyBorder="1" applyAlignment="1">
      <alignment horizontal="right" vertical="center"/>
    </xf>
    <xf numFmtId="38" fontId="6" fillId="0" borderId="155" xfId="1" applyFont="1" applyBorder="1" applyAlignment="1">
      <alignment horizontal="right" vertical="center"/>
    </xf>
    <xf numFmtId="38" fontId="6" fillId="0" borderId="136" xfId="1" applyFont="1" applyBorder="1" applyAlignment="1">
      <alignment horizontal="right" vertical="center"/>
    </xf>
    <xf numFmtId="178" fontId="6" fillId="0" borderId="121" xfId="1" applyNumberFormat="1" applyFont="1" applyBorder="1" applyAlignment="1">
      <alignment horizontal="right" vertical="center"/>
    </xf>
    <xf numFmtId="38" fontId="6" fillId="4" borderId="130" xfId="1" applyFont="1" applyFill="1" applyBorder="1" applyAlignment="1">
      <alignment horizontal="right" vertical="center"/>
    </xf>
    <xf numFmtId="38" fontId="6" fillId="4" borderId="126" xfId="1" applyFont="1" applyFill="1" applyBorder="1" applyAlignment="1">
      <alignment horizontal="right" vertical="center"/>
    </xf>
    <xf numFmtId="38" fontId="6" fillId="0" borderId="155" xfId="1" applyFont="1" applyBorder="1" applyAlignment="1">
      <alignment vertical="center"/>
    </xf>
    <xf numFmtId="3" fontId="6" fillId="0" borderId="119" xfId="1" applyNumberFormat="1" applyFont="1" applyFill="1" applyBorder="1" applyAlignment="1">
      <alignment vertical="center"/>
    </xf>
    <xf numFmtId="38" fontId="7" fillId="0" borderId="125" xfId="1" applyFont="1" applyFill="1" applyBorder="1" applyAlignment="1">
      <alignment vertical="center"/>
    </xf>
    <xf numFmtId="3" fontId="6" fillId="0" borderId="142" xfId="0" applyNumberFormat="1" applyFont="1" applyBorder="1" applyAlignment="1">
      <alignment vertical="center"/>
    </xf>
    <xf numFmtId="3" fontId="6" fillId="0" borderId="123" xfId="0" applyNumberFormat="1" applyFont="1" applyBorder="1" applyAlignment="1">
      <alignment horizontal="right" vertical="center"/>
    </xf>
    <xf numFmtId="3" fontId="6" fillId="0" borderId="137" xfId="0" applyNumberFormat="1" applyFont="1" applyBorder="1" applyAlignment="1">
      <alignment horizontal="right" vertical="center"/>
    </xf>
    <xf numFmtId="38" fontId="6" fillId="0" borderId="123" xfId="1" applyFont="1" applyBorder="1" applyAlignment="1">
      <alignment vertical="center"/>
    </xf>
    <xf numFmtId="178" fontId="6" fillId="0" borderId="84" xfId="1" applyNumberFormat="1" applyFont="1" applyBorder="1" applyAlignment="1">
      <alignment vertical="center"/>
    </xf>
    <xf numFmtId="38" fontId="6" fillId="0" borderId="123" xfId="1" applyFont="1" applyBorder="1" applyAlignment="1">
      <alignment horizontal="right" vertical="center"/>
    </xf>
    <xf numFmtId="38" fontId="6" fillId="0" borderId="177" xfId="1" applyFont="1" applyBorder="1" applyAlignment="1">
      <alignment horizontal="right" vertical="center"/>
    </xf>
    <xf numFmtId="38" fontId="6" fillId="0" borderId="137" xfId="1" applyFont="1" applyBorder="1" applyAlignment="1">
      <alignment horizontal="right" vertical="center"/>
    </xf>
    <xf numFmtId="178" fontId="6" fillId="0" borderId="127" xfId="1" applyNumberFormat="1" applyFont="1" applyBorder="1" applyAlignment="1">
      <alignment horizontal="right" vertical="center"/>
    </xf>
    <xf numFmtId="38" fontId="6" fillId="4" borderId="147" xfId="1" applyFont="1" applyFill="1" applyBorder="1" applyAlignment="1">
      <alignment horizontal="right" vertical="center"/>
    </xf>
    <xf numFmtId="38" fontId="6" fillId="4" borderId="129" xfId="1" applyFont="1" applyFill="1" applyBorder="1" applyAlignment="1">
      <alignment horizontal="right" vertical="center"/>
    </xf>
    <xf numFmtId="38" fontId="6" fillId="0" borderId="177" xfId="1" applyFont="1" applyBorder="1" applyAlignment="1">
      <alignment vertical="center"/>
    </xf>
    <xf numFmtId="3" fontId="6" fillId="0" borderId="123" xfId="1" applyNumberFormat="1" applyFont="1" applyFill="1" applyBorder="1" applyAlignment="1">
      <alignment vertical="center"/>
    </xf>
    <xf numFmtId="38" fontId="7" fillId="0" borderId="128" xfId="1" applyFont="1" applyFill="1" applyBorder="1" applyAlignment="1">
      <alignment vertical="center"/>
    </xf>
    <xf numFmtId="3" fontId="6" fillId="0" borderId="190" xfId="0" applyNumberFormat="1" applyFont="1" applyBorder="1" applyAlignment="1">
      <alignment vertical="center"/>
    </xf>
    <xf numFmtId="38" fontId="7" fillId="4" borderId="146" xfId="1" applyFont="1" applyFill="1" applyBorder="1" applyAlignment="1">
      <alignment horizontal="right" vertical="center"/>
    </xf>
    <xf numFmtId="38" fontId="7" fillId="4" borderId="163" xfId="1" applyFont="1" applyFill="1" applyBorder="1" applyAlignment="1">
      <alignment horizontal="right" vertical="center"/>
    </xf>
    <xf numFmtId="3" fontId="7" fillId="0" borderId="134" xfId="1" applyNumberFormat="1" applyFont="1" applyFill="1" applyBorder="1" applyAlignment="1">
      <alignment vertical="center"/>
    </xf>
    <xf numFmtId="38" fontId="7" fillId="0" borderId="193" xfId="1" applyFont="1" applyFill="1" applyBorder="1" applyAlignment="1">
      <alignment vertical="center"/>
    </xf>
    <xf numFmtId="178" fontId="6" fillId="0" borderId="85" xfId="1" applyNumberFormat="1" applyFont="1" applyBorder="1" applyAlignment="1">
      <alignment vertical="center"/>
    </xf>
    <xf numFmtId="38" fontId="7" fillId="0" borderId="85" xfId="1" applyFont="1" applyBorder="1" applyAlignment="1">
      <alignment vertical="center"/>
    </xf>
    <xf numFmtId="38" fontId="6" fillId="0" borderId="130" xfId="1" applyFont="1" applyBorder="1" applyAlignment="1">
      <alignment horizontal="right" vertical="center"/>
    </xf>
    <xf numFmtId="38" fontId="6" fillId="0" borderId="126" xfId="1" applyFont="1" applyBorder="1" applyAlignment="1">
      <alignment horizontal="right" vertical="center"/>
    </xf>
    <xf numFmtId="3" fontId="6" fillId="0" borderId="119" xfId="1" applyNumberFormat="1" applyFont="1" applyBorder="1" applyAlignment="1">
      <alignment vertical="center"/>
    </xf>
    <xf numFmtId="3" fontId="6" fillId="0" borderId="183" xfId="0" applyNumberFormat="1" applyFont="1" applyBorder="1" applyAlignment="1">
      <alignment vertical="center"/>
    </xf>
    <xf numFmtId="3" fontId="6" fillId="0" borderId="184" xfId="0" applyNumberFormat="1" applyFont="1" applyBorder="1" applyAlignment="1">
      <alignment vertical="center"/>
    </xf>
    <xf numFmtId="3" fontId="6" fillId="0" borderId="172" xfId="0" applyNumberFormat="1" applyFont="1" applyBorder="1" applyAlignment="1">
      <alignment vertical="center"/>
    </xf>
    <xf numFmtId="3" fontId="6" fillId="0" borderId="185" xfId="0" applyNumberFormat="1" applyFont="1" applyBorder="1" applyAlignment="1">
      <alignment vertical="center"/>
    </xf>
    <xf numFmtId="3" fontId="6" fillId="0" borderId="186" xfId="0" applyNumberFormat="1" applyFont="1" applyBorder="1" applyAlignment="1">
      <alignment vertical="center"/>
    </xf>
    <xf numFmtId="3" fontId="6" fillId="0" borderId="187" xfId="0" applyNumberFormat="1" applyFont="1" applyBorder="1" applyAlignment="1">
      <alignment horizontal="right" vertical="center"/>
    </xf>
    <xf numFmtId="3" fontId="6" fillId="0" borderId="188" xfId="0" applyNumberFormat="1" applyFont="1" applyBorder="1" applyAlignment="1">
      <alignment horizontal="right" vertical="center"/>
    </xf>
    <xf numFmtId="3" fontId="6" fillId="0" borderId="172" xfId="0" applyNumberFormat="1" applyFont="1" applyBorder="1" applyAlignment="1">
      <alignment horizontal="right" vertical="center"/>
    </xf>
    <xf numFmtId="3" fontId="6" fillId="0" borderId="189" xfId="0" applyNumberFormat="1" applyFont="1" applyBorder="1" applyAlignment="1">
      <alignment horizontal="right" vertical="center"/>
    </xf>
    <xf numFmtId="38" fontId="6" fillId="0" borderId="172" xfId="1" applyFont="1" applyBorder="1" applyAlignment="1">
      <alignment vertical="center"/>
    </xf>
    <xf numFmtId="38" fontId="7" fillId="0" borderId="27" xfId="1" applyFont="1" applyBorder="1" applyAlignment="1">
      <alignment vertical="center"/>
    </xf>
    <xf numFmtId="38" fontId="6" fillId="0" borderId="172" xfId="1" applyFont="1" applyBorder="1" applyAlignment="1">
      <alignment horizontal="right" vertical="center"/>
    </xf>
    <xf numFmtId="38" fontId="6" fillId="0" borderId="182" xfId="1" applyFont="1" applyBorder="1" applyAlignment="1">
      <alignment horizontal="right" vertical="center"/>
    </xf>
    <xf numFmtId="38" fontId="6" fillId="0" borderId="189" xfId="1" applyFont="1" applyBorder="1" applyAlignment="1">
      <alignment horizontal="right" vertical="center"/>
    </xf>
    <xf numFmtId="178" fontId="6" fillId="0" borderId="186" xfId="1" applyNumberFormat="1" applyFont="1" applyBorder="1" applyAlignment="1">
      <alignment horizontal="right" vertical="center"/>
    </xf>
    <xf numFmtId="38" fontId="6" fillId="0" borderId="169" xfId="1" applyFont="1" applyBorder="1" applyAlignment="1">
      <alignment horizontal="right" vertical="center"/>
    </xf>
    <xf numFmtId="38" fontId="6" fillId="0" borderId="188" xfId="1" applyFont="1" applyBorder="1" applyAlignment="1">
      <alignment horizontal="right" vertical="center"/>
    </xf>
    <xf numFmtId="38" fontId="6" fillId="0" borderId="182" xfId="1" applyFont="1" applyBorder="1" applyAlignment="1">
      <alignment vertical="center"/>
    </xf>
    <xf numFmtId="3" fontId="6" fillId="0" borderId="172" xfId="1" applyNumberFormat="1" applyFont="1" applyBorder="1" applyAlignment="1">
      <alignment vertical="center"/>
    </xf>
    <xf numFmtId="38" fontId="7" fillId="0" borderId="187" xfId="1" applyFont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3" fillId="0" borderId="132" xfId="0" applyNumberFormat="1" applyFont="1" applyBorder="1" applyAlignment="1">
      <alignment vertical="center"/>
    </xf>
    <xf numFmtId="38" fontId="7" fillId="0" borderId="159" xfId="1" applyFont="1" applyBorder="1" applyAlignment="1">
      <alignment vertical="center"/>
    </xf>
    <xf numFmtId="38" fontId="7" fillId="0" borderId="81" xfId="1" applyFont="1" applyBorder="1" applyAlignment="1">
      <alignment vertical="center"/>
    </xf>
    <xf numFmtId="178" fontId="3" fillId="0" borderId="92" xfId="1" applyNumberFormat="1" applyFont="1" applyBorder="1" applyAlignment="1">
      <alignment vertical="center"/>
    </xf>
    <xf numFmtId="38" fontId="3" fillId="0" borderId="110" xfId="1" applyFont="1" applyBorder="1" applyAlignment="1">
      <alignment vertical="center"/>
    </xf>
    <xf numFmtId="38" fontId="3" fillId="0" borderId="54" xfId="1" applyFont="1" applyBorder="1" applyAlignment="1">
      <alignment vertical="center"/>
    </xf>
    <xf numFmtId="38" fontId="7" fillId="0" borderId="54" xfId="1" applyFont="1" applyBorder="1" applyAlignment="1">
      <alignment vertical="center"/>
    </xf>
    <xf numFmtId="3" fontId="7" fillId="0" borderId="34" xfId="1" applyNumberFormat="1" applyFont="1" applyBorder="1" applyAlignment="1">
      <alignment vertical="center"/>
    </xf>
    <xf numFmtId="3" fontId="7" fillId="0" borderId="36" xfId="0" applyNumberFormat="1" applyFont="1" applyBorder="1" applyAlignment="1">
      <alignment vertical="center"/>
    </xf>
    <xf numFmtId="38" fontId="3" fillId="0" borderId="160" xfId="1" applyFont="1" applyBorder="1" applyAlignment="1">
      <alignment vertical="center"/>
    </xf>
    <xf numFmtId="38" fontId="3" fillId="0" borderId="82" xfId="1" applyFont="1" applyBorder="1" applyAlignment="1">
      <alignment vertical="center"/>
    </xf>
    <xf numFmtId="178" fontId="3" fillId="0" borderId="93" xfId="1" applyNumberFormat="1" applyFont="1" applyBorder="1" applyAlignment="1">
      <alignment vertical="center"/>
    </xf>
    <xf numFmtId="38" fontId="3" fillId="0" borderId="111" xfId="1" applyFont="1" applyBorder="1" applyAlignment="1">
      <alignment vertical="center"/>
    </xf>
    <xf numFmtId="3" fontId="7" fillId="0" borderId="29" xfId="1" applyNumberFormat="1" applyFont="1" applyFill="1" applyBorder="1" applyAlignment="1">
      <alignment vertical="center"/>
    </xf>
    <xf numFmtId="3" fontId="7" fillId="0" borderId="30" xfId="1" applyNumberFormat="1" applyFont="1" applyBorder="1" applyAlignment="1">
      <alignment vertical="center"/>
    </xf>
    <xf numFmtId="178" fontId="5" fillId="3" borderId="21" xfId="1" applyNumberFormat="1" applyFont="1" applyFill="1" applyBorder="1" applyAlignment="1">
      <alignment vertical="center"/>
    </xf>
    <xf numFmtId="0" fontId="4" fillId="6" borderId="18" xfId="0" applyFont="1" applyFill="1" applyBorder="1" applyAlignment="1">
      <alignment horizontal="left" vertical="center"/>
    </xf>
    <xf numFmtId="178" fontId="5" fillId="6" borderId="6" xfId="1" applyNumberFormat="1" applyFont="1" applyFill="1" applyBorder="1" applyAlignment="1">
      <alignment vertical="center"/>
    </xf>
    <xf numFmtId="0" fontId="4" fillId="7" borderId="20" xfId="0" applyFont="1" applyFill="1" applyBorder="1" applyAlignment="1">
      <alignment horizontal="left" vertical="center"/>
    </xf>
    <xf numFmtId="3" fontId="5" fillId="2" borderId="29" xfId="1" applyNumberFormat="1" applyFont="1" applyFill="1" applyBorder="1" applyAlignment="1">
      <alignment vertical="center"/>
    </xf>
    <xf numFmtId="178" fontId="5" fillId="2" borderId="6" xfId="1" applyNumberFormat="1" applyFont="1" applyFill="1" applyBorder="1" applyAlignment="1">
      <alignment vertical="center"/>
    </xf>
    <xf numFmtId="178" fontId="7" fillId="4" borderId="204" xfId="1" applyNumberFormat="1" applyFont="1" applyFill="1" applyBorder="1" applyAlignment="1">
      <alignment vertical="center"/>
    </xf>
    <xf numFmtId="0" fontId="7" fillId="0" borderId="15" xfId="0" applyFont="1" applyBorder="1" applyAlignment="1">
      <alignment vertical="center"/>
    </xf>
    <xf numFmtId="3" fontId="7" fillId="0" borderId="33" xfId="0" applyNumberFormat="1" applyFont="1" applyFill="1" applyBorder="1" applyAlignment="1">
      <alignment vertical="center"/>
    </xf>
    <xf numFmtId="3" fontId="7" fillId="0" borderId="132" xfId="0" applyNumberFormat="1" applyFont="1" applyFill="1" applyBorder="1" applyAlignment="1">
      <alignment vertical="center"/>
    </xf>
    <xf numFmtId="3" fontId="7" fillId="0" borderId="50" xfId="0" applyNumberFormat="1" applyFont="1" applyFill="1" applyBorder="1" applyAlignment="1">
      <alignment vertical="center"/>
    </xf>
    <xf numFmtId="3" fontId="7" fillId="0" borderId="34" xfId="0" applyNumberFormat="1" applyFont="1" applyFill="1" applyBorder="1" applyAlignment="1">
      <alignment vertical="center"/>
    </xf>
    <xf numFmtId="3" fontId="7" fillId="0" borderId="81" xfId="0" applyNumberFormat="1" applyFont="1" applyFill="1" applyBorder="1" applyAlignment="1">
      <alignment vertical="center"/>
    </xf>
    <xf numFmtId="3" fontId="7" fillId="0" borderId="102" xfId="0" applyNumberFormat="1" applyFont="1" applyFill="1" applyBorder="1" applyAlignment="1">
      <alignment vertical="center"/>
    </xf>
    <xf numFmtId="3" fontId="7" fillId="0" borderId="92" xfId="0" applyNumberFormat="1" applyFont="1" applyFill="1" applyBorder="1" applyAlignment="1">
      <alignment vertical="center"/>
    </xf>
    <xf numFmtId="3" fontId="7" fillId="0" borderId="35" xfId="0" applyNumberFormat="1" applyFont="1" applyFill="1" applyBorder="1" applyAlignment="1">
      <alignment horizontal="right" vertical="center"/>
    </xf>
    <xf numFmtId="3" fontId="7" fillId="0" borderId="54" xfId="0" applyNumberFormat="1" applyFont="1" applyFill="1" applyBorder="1" applyAlignment="1">
      <alignment horizontal="right" vertical="center"/>
    </xf>
    <xf numFmtId="3" fontId="7" fillId="0" borderId="34" xfId="0" applyNumberFormat="1" applyFont="1" applyFill="1" applyBorder="1" applyAlignment="1">
      <alignment horizontal="right" vertical="center"/>
    </xf>
    <xf numFmtId="3" fontId="7" fillId="0" borderId="81" xfId="0" applyNumberFormat="1" applyFont="1" applyFill="1" applyBorder="1" applyAlignment="1">
      <alignment horizontal="right" vertical="center"/>
    </xf>
    <xf numFmtId="38" fontId="7" fillId="0" borderId="34" xfId="1" applyFont="1" applyFill="1" applyBorder="1" applyAlignment="1">
      <alignment vertical="center"/>
    </xf>
    <xf numFmtId="178" fontId="7" fillId="0" borderId="34" xfId="1" applyNumberFormat="1" applyFont="1" applyFill="1" applyBorder="1" applyAlignment="1">
      <alignment vertical="center"/>
    </xf>
    <xf numFmtId="38" fontId="7" fillId="0" borderId="35" xfId="1" applyFont="1" applyFill="1" applyBorder="1" applyAlignment="1">
      <alignment vertical="center"/>
    </xf>
    <xf numFmtId="38" fontId="7" fillId="0" borderId="54" xfId="1" applyFont="1" applyFill="1" applyBorder="1" applyAlignment="1">
      <alignment vertical="center"/>
    </xf>
    <xf numFmtId="38" fontId="7" fillId="0" borderId="159" xfId="1" applyFont="1" applyFill="1" applyBorder="1" applyAlignment="1">
      <alignment vertical="center"/>
    </xf>
    <xf numFmtId="38" fontId="7" fillId="0" borderId="81" xfId="1" applyFont="1" applyFill="1" applyBorder="1" applyAlignment="1">
      <alignment vertical="center"/>
    </xf>
    <xf numFmtId="178" fontId="7" fillId="0" borderId="92" xfId="1" applyNumberFormat="1" applyFont="1" applyFill="1" applyBorder="1" applyAlignment="1">
      <alignment vertical="center"/>
    </xf>
    <xf numFmtId="38" fontId="7" fillId="0" borderId="110" xfId="1" applyFont="1" applyFill="1" applyBorder="1" applyAlignment="1">
      <alignment vertical="center"/>
    </xf>
    <xf numFmtId="3" fontId="7" fillId="0" borderId="34" xfId="1" applyNumberFormat="1" applyFont="1" applyFill="1" applyBorder="1" applyAlignment="1">
      <alignment vertical="center"/>
    </xf>
    <xf numFmtId="3" fontId="7" fillId="4" borderId="33" xfId="0" applyNumberFormat="1" applyFont="1" applyFill="1" applyBorder="1" applyAlignment="1">
      <alignment vertical="center"/>
    </xf>
    <xf numFmtId="3" fontId="7" fillId="0" borderId="132" xfId="0" applyNumberFormat="1" applyFont="1" applyBorder="1" applyAlignment="1">
      <alignment vertical="center"/>
    </xf>
    <xf numFmtId="3" fontId="7" fillId="0" borderId="50" xfId="0" applyNumberFormat="1" applyFont="1" applyBorder="1" applyAlignment="1">
      <alignment vertical="center"/>
    </xf>
    <xf numFmtId="3" fontId="7" fillId="0" borderId="34" xfId="0" applyNumberFormat="1" applyFont="1" applyBorder="1" applyAlignment="1">
      <alignment vertical="center"/>
    </xf>
    <xf numFmtId="3" fontId="7" fillId="0" borderId="81" xfId="0" applyNumberFormat="1" applyFont="1" applyBorder="1" applyAlignment="1">
      <alignment vertical="center"/>
    </xf>
    <xf numFmtId="3" fontId="7" fillId="0" borderId="102" xfId="0" applyNumberFormat="1" applyFont="1" applyBorder="1" applyAlignment="1">
      <alignment vertical="center"/>
    </xf>
    <xf numFmtId="3" fontId="7" fillId="0" borderId="92" xfId="0" applyNumberFormat="1" applyFont="1" applyBorder="1" applyAlignment="1">
      <alignment vertical="center"/>
    </xf>
    <xf numFmtId="3" fontId="7" fillId="0" borderId="35" xfId="0" applyNumberFormat="1" applyFont="1" applyBorder="1" applyAlignment="1">
      <alignment horizontal="right" vertical="center"/>
    </xf>
    <xf numFmtId="3" fontId="7" fillId="0" borderId="54" xfId="0" applyNumberFormat="1" applyFont="1" applyBorder="1" applyAlignment="1">
      <alignment horizontal="right" vertical="center"/>
    </xf>
    <xf numFmtId="3" fontId="7" fillId="0" borderId="34" xfId="0" applyNumberFormat="1" applyFont="1" applyBorder="1" applyAlignment="1">
      <alignment horizontal="right" vertical="center"/>
    </xf>
    <xf numFmtId="3" fontId="7" fillId="0" borderId="81" xfId="0" applyNumberFormat="1" applyFont="1" applyBorder="1" applyAlignment="1">
      <alignment horizontal="right" vertical="center"/>
    </xf>
    <xf numFmtId="178" fontId="7" fillId="0" borderId="34" xfId="1" applyNumberFormat="1" applyFont="1" applyBorder="1" applyAlignment="1">
      <alignment vertical="center"/>
    </xf>
    <xf numFmtId="41" fontId="7" fillId="0" borderId="81" xfId="0" applyNumberFormat="1" applyFont="1" applyBorder="1" applyAlignment="1">
      <alignment horizontal="right" vertical="center"/>
    </xf>
    <xf numFmtId="41" fontId="7" fillId="0" borderId="34" xfId="0" applyNumberFormat="1" applyFont="1" applyFill="1" applyBorder="1" applyAlignment="1">
      <alignment horizontal="right" vertical="center"/>
    </xf>
    <xf numFmtId="38" fontId="7" fillId="4" borderId="159" xfId="1" applyFont="1" applyFill="1" applyBorder="1" applyAlignment="1">
      <alignment horizontal="right" vertical="center"/>
    </xf>
    <xf numFmtId="38" fontId="7" fillId="4" borderId="35" xfId="1" applyFont="1" applyFill="1" applyBorder="1" applyAlignment="1">
      <alignment vertical="center" wrapText="1"/>
    </xf>
    <xf numFmtId="41" fontId="7" fillId="0" borderId="62" xfId="0" applyNumberFormat="1" applyFont="1" applyFill="1" applyBorder="1" applyAlignment="1">
      <alignment horizontal="right" vertical="center"/>
    </xf>
    <xf numFmtId="3" fontId="7" fillId="0" borderId="62" xfId="0" applyNumberFormat="1" applyFont="1" applyBorder="1" applyAlignment="1">
      <alignment horizontal="right" vertical="center"/>
    </xf>
    <xf numFmtId="38" fontId="7" fillId="4" borderId="162" xfId="1" applyFont="1" applyFill="1" applyBorder="1" applyAlignment="1">
      <alignment horizontal="right" vertical="center"/>
    </xf>
    <xf numFmtId="41" fontId="7" fillId="0" borderId="34" xfId="0" applyNumberFormat="1" applyFont="1" applyBorder="1" applyAlignment="1">
      <alignment vertical="center"/>
    </xf>
    <xf numFmtId="41" fontId="7" fillId="0" borderId="57" xfId="0" applyNumberFormat="1" applyFont="1" applyFill="1" applyBorder="1" applyAlignment="1">
      <alignment horizontal="right" vertical="center"/>
    </xf>
    <xf numFmtId="0" fontId="7" fillId="0" borderId="14" xfId="0" applyFont="1" applyBorder="1" applyAlignment="1">
      <alignment vertical="center"/>
    </xf>
    <xf numFmtId="38" fontId="7" fillId="0" borderId="60" xfId="1" applyFont="1" applyBorder="1" applyAlignment="1">
      <alignment vertical="center"/>
    </xf>
    <xf numFmtId="38" fontId="21" fillId="4" borderId="161" xfId="1" applyFont="1" applyFill="1" applyBorder="1" applyAlignment="1">
      <alignment horizontal="right" vertical="center"/>
    </xf>
    <xf numFmtId="3" fontId="7" fillId="4" borderId="60" xfId="1" applyNumberFormat="1" applyFont="1" applyFill="1" applyBorder="1" applyAlignment="1">
      <alignment vertical="center" wrapText="1"/>
    </xf>
    <xf numFmtId="38" fontId="7" fillId="4" borderId="58" xfId="1" applyFont="1" applyFill="1" applyBorder="1" applyAlignment="1">
      <alignment vertical="center" wrapText="1"/>
    </xf>
    <xf numFmtId="0" fontId="7" fillId="0" borderId="12" xfId="0" applyFont="1" applyBorder="1" applyAlignment="1">
      <alignment vertical="center"/>
    </xf>
    <xf numFmtId="3" fontId="7" fillId="0" borderId="133" xfId="0" applyNumberFormat="1" applyFont="1" applyBorder="1" applyAlignment="1">
      <alignment vertical="center"/>
    </xf>
    <xf numFmtId="178" fontId="7" fillId="0" borderId="37" xfId="1" applyNumberFormat="1" applyFont="1" applyBorder="1" applyAlignment="1">
      <alignment vertical="center"/>
    </xf>
    <xf numFmtId="41" fontId="7" fillId="0" borderId="37" xfId="0" applyNumberFormat="1" applyFont="1" applyBorder="1" applyAlignment="1">
      <alignment horizontal="right" vertical="center"/>
    </xf>
    <xf numFmtId="41" fontId="7" fillId="0" borderId="160" xfId="0" applyNumberFormat="1" applyFont="1" applyBorder="1" applyAlignment="1">
      <alignment horizontal="right" vertical="center"/>
    </xf>
    <xf numFmtId="41" fontId="7" fillId="0" borderId="82" xfId="0" applyNumberFormat="1" applyFont="1" applyBorder="1" applyAlignment="1">
      <alignment horizontal="right" vertical="center"/>
    </xf>
    <xf numFmtId="41" fontId="7" fillId="0" borderId="37" xfId="0" applyNumberFormat="1" applyFont="1" applyFill="1" applyBorder="1" applyAlignment="1">
      <alignment horizontal="right" vertical="center"/>
    </xf>
    <xf numFmtId="178" fontId="7" fillId="0" borderId="93" xfId="1" applyNumberFormat="1" applyFont="1" applyBorder="1" applyAlignment="1">
      <alignment horizontal="right" vertical="center"/>
    </xf>
    <xf numFmtId="38" fontId="21" fillId="4" borderId="160" xfId="1" applyFont="1" applyFill="1" applyBorder="1" applyAlignment="1">
      <alignment vertical="center"/>
    </xf>
    <xf numFmtId="3" fontId="7" fillId="4" borderId="37" xfId="1" applyNumberFormat="1" applyFont="1" applyFill="1" applyBorder="1" applyAlignment="1">
      <alignment vertical="center"/>
    </xf>
    <xf numFmtId="178" fontId="7" fillId="4" borderId="41" xfId="1" applyNumberFormat="1" applyFont="1" applyFill="1" applyBorder="1" applyAlignment="1">
      <alignment horizontal="left" vertical="center"/>
    </xf>
    <xf numFmtId="0" fontId="3" fillId="9" borderId="2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3" fillId="0" borderId="15" xfId="0" applyFont="1" applyFill="1" applyBorder="1" applyAlignment="1">
      <alignment horizontal="left" vertical="center"/>
    </xf>
    <xf numFmtId="178" fontId="7" fillId="0" borderId="92" xfId="1" applyNumberFormat="1" applyFont="1" applyFill="1" applyBorder="1" applyAlignment="1">
      <alignment horizontal="right" vertical="center"/>
    </xf>
    <xf numFmtId="178" fontId="7" fillId="0" borderId="35" xfId="1" applyNumberFormat="1" applyFont="1" applyFill="1" applyBorder="1" applyAlignment="1">
      <alignment horizontal="left" vertical="center"/>
    </xf>
    <xf numFmtId="178" fontId="7" fillId="0" borderId="35" xfId="1" applyNumberFormat="1" applyFont="1" applyFill="1" applyBorder="1" applyAlignment="1">
      <alignment vertical="center"/>
    </xf>
    <xf numFmtId="38" fontId="6" fillId="0" borderId="34" xfId="1" applyFont="1" applyFill="1" applyBorder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38" fontId="6" fillId="0" borderId="54" xfId="1" applyFont="1" applyFill="1" applyBorder="1" applyAlignment="1">
      <alignment vertical="center"/>
    </xf>
    <xf numFmtId="0" fontId="4" fillId="0" borderId="39" xfId="0" applyFont="1" applyFill="1" applyBorder="1" applyAlignment="1">
      <alignment horizontal="left" vertical="center"/>
    </xf>
    <xf numFmtId="3" fontId="7" fillId="4" borderId="36" xfId="0" applyNumberFormat="1" applyFont="1" applyFill="1" applyBorder="1" applyAlignment="1">
      <alignment vertical="center"/>
    </xf>
    <xf numFmtId="3" fontId="7" fillId="0" borderId="133" xfId="0" applyNumberFormat="1" applyFont="1" applyFill="1" applyBorder="1" applyAlignment="1">
      <alignment vertical="center"/>
    </xf>
    <xf numFmtId="3" fontId="7" fillId="0" borderId="51" xfId="0" applyNumberFormat="1" applyFont="1" applyFill="1" applyBorder="1" applyAlignment="1">
      <alignment vertical="center"/>
    </xf>
    <xf numFmtId="3" fontId="7" fillId="0" borderId="37" xfId="0" applyNumberFormat="1" applyFont="1" applyFill="1" applyBorder="1" applyAlignment="1">
      <alignment vertical="center"/>
    </xf>
    <xf numFmtId="3" fontId="7" fillId="0" borderId="82" xfId="0" applyNumberFormat="1" applyFont="1" applyFill="1" applyBorder="1" applyAlignment="1">
      <alignment vertical="center"/>
    </xf>
    <xf numFmtId="3" fontId="7" fillId="0" borderId="103" xfId="0" applyNumberFormat="1" applyFont="1" applyFill="1" applyBorder="1" applyAlignment="1">
      <alignment vertical="center"/>
    </xf>
    <xf numFmtId="3" fontId="7" fillId="0" borderId="93" xfId="0" applyNumberFormat="1" applyFont="1" applyFill="1" applyBorder="1" applyAlignment="1">
      <alignment vertical="center"/>
    </xf>
    <xf numFmtId="3" fontId="7" fillId="0" borderId="41" xfId="0" applyNumberFormat="1" applyFont="1" applyFill="1" applyBorder="1" applyAlignment="1">
      <alignment horizontal="right" vertical="center"/>
    </xf>
    <xf numFmtId="3" fontId="7" fillId="0" borderId="55" xfId="0" applyNumberFormat="1" applyFont="1" applyFill="1" applyBorder="1" applyAlignment="1">
      <alignment horizontal="right" vertical="center"/>
    </xf>
    <xf numFmtId="3" fontId="7" fillId="0" borderId="37" xfId="0" applyNumberFormat="1" applyFont="1" applyFill="1" applyBorder="1" applyAlignment="1">
      <alignment horizontal="right" vertical="center"/>
    </xf>
    <xf numFmtId="3" fontId="7" fillId="0" borderId="82" xfId="0" applyNumberFormat="1" applyFont="1" applyFill="1" applyBorder="1" applyAlignment="1">
      <alignment horizontal="right" vertical="center"/>
    </xf>
    <xf numFmtId="178" fontId="7" fillId="0" borderId="37" xfId="1" applyNumberFormat="1" applyFont="1" applyFill="1" applyBorder="1" applyAlignment="1">
      <alignment vertical="center"/>
    </xf>
    <xf numFmtId="38" fontId="7" fillId="0" borderId="41" xfId="1" applyFont="1" applyFill="1" applyBorder="1" applyAlignment="1">
      <alignment vertical="center"/>
    </xf>
    <xf numFmtId="38" fontId="7" fillId="0" borderId="55" xfId="1" applyFont="1" applyFill="1" applyBorder="1" applyAlignment="1">
      <alignment vertical="center"/>
    </xf>
    <xf numFmtId="3" fontId="7" fillId="0" borderId="160" xfId="0" applyNumberFormat="1" applyFont="1" applyFill="1" applyBorder="1" applyAlignment="1">
      <alignment horizontal="right" vertical="center"/>
    </xf>
    <xf numFmtId="178" fontId="7" fillId="0" borderId="93" xfId="1" applyNumberFormat="1" applyFont="1" applyFill="1" applyBorder="1" applyAlignment="1">
      <alignment horizontal="right" vertical="center"/>
    </xf>
    <xf numFmtId="38" fontId="7" fillId="0" borderId="111" xfId="1" applyFont="1" applyFill="1" applyBorder="1" applyAlignment="1">
      <alignment vertical="center"/>
    </xf>
    <xf numFmtId="38" fontId="7" fillId="0" borderId="160" xfId="1" applyFont="1" applyFill="1" applyBorder="1" applyAlignment="1">
      <alignment vertical="center"/>
    </xf>
    <xf numFmtId="3" fontId="7" fillId="0" borderId="37" xfId="1" applyNumberFormat="1" applyFont="1" applyFill="1" applyBorder="1" applyAlignment="1">
      <alignment vertical="center"/>
    </xf>
    <xf numFmtId="178" fontId="7" fillId="0" borderId="41" xfId="1" applyNumberFormat="1" applyFont="1" applyFill="1" applyBorder="1" applyAlignment="1">
      <alignment horizontal="left" vertical="center"/>
    </xf>
    <xf numFmtId="0" fontId="3" fillId="9" borderId="15" xfId="0" applyFont="1" applyFill="1" applyBorder="1" applyAlignment="1">
      <alignment horizontal="left" vertical="center"/>
    </xf>
    <xf numFmtId="3" fontId="7" fillId="0" borderId="159" xfId="0" applyNumberFormat="1" applyFont="1" applyFill="1" applyBorder="1" applyAlignment="1">
      <alignment horizontal="right" vertical="center"/>
    </xf>
    <xf numFmtId="3" fontId="7" fillId="0" borderId="140" xfId="0" applyNumberFormat="1" applyFont="1" applyFill="1" applyBorder="1" applyAlignment="1">
      <alignment vertical="center"/>
    </xf>
    <xf numFmtId="3" fontId="7" fillId="0" borderId="63" xfId="0" applyNumberFormat="1" applyFont="1" applyFill="1" applyBorder="1" applyAlignment="1">
      <alignment vertical="center"/>
    </xf>
    <xf numFmtId="3" fontId="7" fillId="0" borderId="62" xfId="0" applyNumberFormat="1" applyFont="1" applyFill="1" applyBorder="1" applyAlignment="1">
      <alignment vertical="center"/>
    </xf>
    <xf numFmtId="3" fontId="7" fillId="0" borderId="83" xfId="0" applyNumberFormat="1" applyFont="1" applyFill="1" applyBorder="1" applyAlignment="1">
      <alignment vertical="center"/>
    </xf>
    <xf numFmtId="3" fontId="7" fillId="0" borderId="104" xfId="0" applyNumberFormat="1" applyFont="1" applyFill="1" applyBorder="1" applyAlignment="1">
      <alignment vertical="center"/>
    </xf>
    <xf numFmtId="3" fontId="7" fillId="0" borderId="94" xfId="0" applyNumberFormat="1" applyFont="1" applyFill="1" applyBorder="1" applyAlignment="1">
      <alignment vertical="center"/>
    </xf>
    <xf numFmtId="3" fontId="7" fillId="0" borderId="38" xfId="0" applyNumberFormat="1" applyFont="1" applyFill="1" applyBorder="1" applyAlignment="1">
      <alignment horizontal="right" vertical="center"/>
    </xf>
    <xf numFmtId="3" fontId="7" fillId="0" borderId="61" xfId="0" applyNumberFormat="1" applyFont="1" applyFill="1" applyBorder="1" applyAlignment="1">
      <alignment horizontal="right" vertical="center"/>
    </xf>
    <xf numFmtId="3" fontId="7" fillId="0" borderId="62" xfId="0" applyNumberFormat="1" applyFont="1" applyFill="1" applyBorder="1" applyAlignment="1">
      <alignment horizontal="right" vertical="center"/>
    </xf>
    <xf numFmtId="3" fontId="7" fillId="0" borderId="83" xfId="0" applyNumberFormat="1" applyFont="1" applyFill="1" applyBorder="1" applyAlignment="1">
      <alignment horizontal="right" vertical="center"/>
    </xf>
    <xf numFmtId="38" fontId="7" fillId="0" borderId="62" xfId="1" applyFont="1" applyFill="1" applyBorder="1" applyAlignment="1">
      <alignment vertical="center"/>
    </xf>
    <xf numFmtId="178" fontId="7" fillId="0" borderId="62" xfId="1" applyNumberFormat="1" applyFont="1" applyFill="1" applyBorder="1" applyAlignment="1">
      <alignment vertical="center"/>
    </xf>
    <xf numFmtId="38" fontId="7" fillId="0" borderId="38" xfId="1" applyFont="1" applyFill="1" applyBorder="1" applyAlignment="1">
      <alignment vertical="center"/>
    </xf>
    <xf numFmtId="41" fontId="7" fillId="0" borderId="162" xfId="0" applyNumberFormat="1" applyFont="1" applyFill="1" applyBorder="1" applyAlignment="1">
      <alignment horizontal="right" vertical="center"/>
    </xf>
    <xf numFmtId="41" fontId="7" fillId="0" borderId="83" xfId="0" applyNumberFormat="1" applyFont="1" applyFill="1" applyBorder="1" applyAlignment="1">
      <alignment horizontal="right" vertical="center"/>
    </xf>
    <xf numFmtId="178" fontId="7" fillId="0" borderId="94" xfId="1" applyNumberFormat="1" applyFont="1" applyFill="1" applyBorder="1" applyAlignment="1">
      <alignment horizontal="right" vertical="center"/>
    </xf>
    <xf numFmtId="38" fontId="7" fillId="0" borderId="113" xfId="1" applyFont="1" applyFill="1" applyBorder="1" applyAlignment="1">
      <alignment vertical="center"/>
    </xf>
    <xf numFmtId="38" fontId="7" fillId="0" borderId="61" xfId="1" applyFont="1" applyFill="1" applyBorder="1" applyAlignment="1">
      <alignment vertical="center"/>
    </xf>
    <xf numFmtId="38" fontId="7" fillId="0" borderId="162" xfId="1" applyFont="1" applyFill="1" applyBorder="1" applyAlignment="1">
      <alignment vertical="center"/>
    </xf>
    <xf numFmtId="3" fontId="7" fillId="0" borderId="62" xfId="1" applyNumberFormat="1" applyFont="1" applyFill="1" applyBorder="1" applyAlignment="1">
      <alignment vertical="center"/>
    </xf>
    <xf numFmtId="178" fontId="7" fillId="0" borderId="38" xfId="1" applyNumberFormat="1" applyFont="1" applyFill="1" applyBorder="1" applyAlignment="1">
      <alignment horizontal="left" vertical="center"/>
    </xf>
    <xf numFmtId="38" fontId="7" fillId="4" borderId="34" xfId="1" applyFont="1" applyFill="1" applyBorder="1" applyAlignment="1">
      <alignment vertical="center"/>
    </xf>
    <xf numFmtId="178" fontId="7" fillId="0" borderId="92" xfId="1" applyNumberFormat="1" applyFont="1" applyBorder="1" applyAlignment="1">
      <alignment vertical="center"/>
    </xf>
    <xf numFmtId="38" fontId="7" fillId="0" borderId="110" xfId="1" applyFont="1" applyBorder="1" applyAlignment="1">
      <alignment vertical="center"/>
    </xf>
    <xf numFmtId="38" fontId="6" fillId="0" borderId="34" xfId="1" applyFont="1" applyBorder="1" applyAlignment="1">
      <alignment vertical="center"/>
    </xf>
    <xf numFmtId="38" fontId="7" fillId="4" borderId="54" xfId="1" applyFont="1" applyFill="1" applyBorder="1" applyAlignment="1">
      <alignment vertical="center"/>
    </xf>
    <xf numFmtId="3" fontId="7" fillId="4" borderId="34" xfId="1" applyNumberFormat="1" applyFont="1" applyFill="1" applyBorder="1" applyAlignment="1">
      <alignment vertical="center"/>
    </xf>
    <xf numFmtId="178" fontId="7" fillId="4" borderId="35" xfId="1" applyNumberFormat="1" applyFont="1" applyFill="1" applyBorder="1" applyAlignment="1">
      <alignment vertical="center"/>
    </xf>
    <xf numFmtId="3" fontId="7" fillId="4" borderId="112" xfId="0" applyNumberFormat="1" applyFont="1" applyFill="1" applyBorder="1" applyAlignment="1">
      <alignment vertical="center"/>
    </xf>
    <xf numFmtId="3" fontId="7" fillId="0" borderId="162" xfId="0" applyNumberFormat="1" applyFont="1" applyFill="1" applyBorder="1" applyAlignment="1">
      <alignment horizontal="right" vertical="center"/>
    </xf>
    <xf numFmtId="0" fontId="3" fillId="9" borderId="18" xfId="0" applyFont="1" applyFill="1" applyBorder="1" applyAlignment="1">
      <alignment horizontal="left" vertical="center"/>
    </xf>
    <xf numFmtId="3" fontId="7" fillId="9" borderId="10" xfId="0" applyNumberFormat="1" applyFont="1" applyFill="1" applyBorder="1" applyAlignment="1">
      <alignment vertical="center"/>
    </xf>
    <xf numFmtId="3" fontId="7" fillId="9" borderId="19" xfId="0" applyNumberFormat="1" applyFont="1" applyFill="1" applyBorder="1" applyAlignment="1">
      <alignment vertical="center"/>
    </xf>
    <xf numFmtId="178" fontId="7" fillId="9" borderId="6" xfId="1" applyNumberFormat="1" applyFont="1" applyFill="1" applyBorder="1" applyAlignment="1">
      <alignment horizontal="left" vertical="center"/>
    </xf>
    <xf numFmtId="3" fontId="7" fillId="9" borderId="17" xfId="0" applyNumberFormat="1" applyFont="1" applyFill="1" applyBorder="1" applyAlignment="1">
      <alignment vertical="center"/>
    </xf>
    <xf numFmtId="3" fontId="7" fillId="9" borderId="139" xfId="0" applyNumberFormat="1" applyFont="1" applyFill="1" applyBorder="1" applyAlignment="1">
      <alignment vertical="center"/>
    </xf>
    <xf numFmtId="3" fontId="7" fillId="4" borderId="54" xfId="0" applyNumberFormat="1" applyFont="1" applyFill="1" applyBorder="1" applyAlignment="1">
      <alignment horizontal="right" vertical="center"/>
    </xf>
    <xf numFmtId="3" fontId="7" fillId="4" borderId="34" xfId="0" applyNumberFormat="1" applyFont="1" applyFill="1" applyBorder="1" applyAlignment="1">
      <alignment horizontal="right" vertical="center"/>
    </xf>
    <xf numFmtId="3" fontId="7" fillId="4" borderId="81" xfId="0" applyNumberFormat="1" applyFont="1" applyFill="1" applyBorder="1" applyAlignment="1">
      <alignment horizontal="right" vertical="center"/>
    </xf>
    <xf numFmtId="38" fontId="6" fillId="0" borderId="54" xfId="1" applyFont="1" applyBorder="1" applyAlignment="1">
      <alignment vertical="center"/>
    </xf>
    <xf numFmtId="3" fontId="7" fillId="0" borderId="159" xfId="1" applyNumberFormat="1" applyFont="1" applyBorder="1" applyAlignment="1">
      <alignment vertical="center"/>
    </xf>
    <xf numFmtId="3" fontId="7" fillId="0" borderId="81" xfId="1" applyNumberFormat="1" applyFont="1" applyBorder="1" applyAlignment="1">
      <alignment vertical="center"/>
    </xf>
    <xf numFmtId="178" fontId="7" fillId="0" borderId="35" xfId="1" applyNumberFormat="1" applyFont="1" applyBorder="1" applyAlignment="1">
      <alignment vertical="center"/>
    </xf>
    <xf numFmtId="3" fontId="7" fillId="0" borderId="197" xfId="0" applyNumberFormat="1" applyFont="1" applyBorder="1" applyAlignment="1">
      <alignment vertical="center"/>
    </xf>
    <xf numFmtId="3" fontId="7" fillId="3" borderId="62" xfId="0" applyNumberFormat="1" applyFont="1" applyFill="1" applyBorder="1" applyAlignment="1">
      <alignment horizontal="right" vertical="center"/>
    </xf>
    <xf numFmtId="3" fontId="7" fillId="4" borderId="132" xfId="0" applyNumberFormat="1" applyFont="1" applyFill="1" applyBorder="1" applyAlignment="1">
      <alignment vertical="center"/>
    </xf>
    <xf numFmtId="38" fontId="7" fillId="4" borderId="34" xfId="1" applyFont="1" applyFill="1" applyBorder="1" applyAlignment="1">
      <alignment horizontal="right" vertical="center"/>
    </xf>
    <xf numFmtId="38" fontId="6" fillId="0" borderId="37" xfId="1" applyFont="1" applyFill="1" applyBorder="1" applyAlignment="1">
      <alignment vertical="center"/>
    </xf>
    <xf numFmtId="38" fontId="7" fillId="0" borderId="82" xfId="1" applyFont="1" applyFill="1" applyBorder="1" applyAlignment="1">
      <alignment vertical="center"/>
    </xf>
    <xf numFmtId="38" fontId="7" fillId="4" borderId="37" xfId="1" applyFont="1" applyFill="1" applyBorder="1" applyAlignment="1">
      <alignment vertical="center"/>
    </xf>
    <xf numFmtId="178" fontId="7" fillId="0" borderId="93" xfId="1" applyNumberFormat="1" applyFont="1" applyFill="1" applyBorder="1" applyAlignment="1">
      <alignment vertical="center"/>
    </xf>
    <xf numFmtId="0" fontId="3" fillId="9" borderId="13" xfId="0" applyFont="1" applyFill="1" applyBorder="1" applyAlignment="1">
      <alignment vertical="center"/>
    </xf>
    <xf numFmtId="178" fontId="7" fillId="9" borderId="204" xfId="1" applyNumberFormat="1" applyFont="1" applyFill="1" applyBorder="1" applyAlignment="1">
      <alignment vertical="center"/>
    </xf>
    <xf numFmtId="0" fontId="7" fillId="0" borderId="176" xfId="0" applyFont="1" applyBorder="1" applyAlignment="1">
      <alignment vertical="center"/>
    </xf>
    <xf numFmtId="0" fontId="3" fillId="0" borderId="175" xfId="0" applyFont="1" applyBorder="1" applyAlignment="1">
      <alignment vertical="center"/>
    </xf>
    <xf numFmtId="178" fontId="7" fillId="9" borderId="40" xfId="1" applyNumberFormat="1" applyFont="1" applyFill="1" applyBorder="1" applyAlignment="1">
      <alignment vertical="center"/>
    </xf>
    <xf numFmtId="3" fontId="7" fillId="4" borderId="38" xfId="1" applyNumberFormat="1" applyFont="1" applyFill="1" applyBorder="1" applyAlignment="1">
      <alignment vertical="center"/>
    </xf>
    <xf numFmtId="3" fontId="7" fillId="0" borderId="114" xfId="0" applyNumberFormat="1" applyFont="1" applyBorder="1" applyAlignment="1">
      <alignment vertical="center"/>
    </xf>
    <xf numFmtId="3" fontId="7" fillId="0" borderId="141" xfId="0" applyNumberFormat="1" applyFont="1" applyBorder="1" applyAlignment="1">
      <alignment vertical="center"/>
    </xf>
    <xf numFmtId="3" fontId="7" fillId="0" borderId="118" xfId="0" applyNumberFormat="1" applyFont="1" applyBorder="1" applyAlignment="1">
      <alignment vertical="center"/>
    </xf>
    <xf numFmtId="3" fontId="7" fillId="0" borderId="119" xfId="0" applyNumberFormat="1" applyFont="1" applyBorder="1" applyAlignment="1">
      <alignment vertical="center"/>
    </xf>
    <xf numFmtId="3" fontId="7" fillId="0" borderId="120" xfId="0" applyNumberFormat="1" applyFont="1" applyBorder="1" applyAlignment="1">
      <alignment vertical="center"/>
    </xf>
    <xf numFmtId="3" fontId="7" fillId="0" borderId="121" xfId="0" applyNumberFormat="1" applyFont="1" applyBorder="1" applyAlignment="1">
      <alignment vertical="center"/>
    </xf>
    <xf numFmtId="3" fontId="7" fillId="0" borderId="125" xfId="0" applyNumberFormat="1" applyFont="1" applyBorder="1" applyAlignment="1">
      <alignment horizontal="right" vertical="center"/>
    </xf>
    <xf numFmtId="3" fontId="7" fillId="0" borderId="126" xfId="0" applyNumberFormat="1" applyFont="1" applyBorder="1" applyAlignment="1">
      <alignment horizontal="right" vertical="center"/>
    </xf>
    <xf numFmtId="3" fontId="7" fillId="0" borderId="119" xfId="0" applyNumberFormat="1" applyFont="1" applyBorder="1" applyAlignment="1">
      <alignment horizontal="right" vertical="center"/>
    </xf>
    <xf numFmtId="3" fontId="7" fillId="0" borderId="136" xfId="0" applyNumberFormat="1" applyFont="1" applyBorder="1" applyAlignment="1">
      <alignment horizontal="right" vertical="center"/>
    </xf>
    <xf numFmtId="38" fontId="7" fillId="0" borderId="119" xfId="1" applyFont="1" applyBorder="1" applyAlignment="1">
      <alignment vertical="center"/>
    </xf>
    <xf numFmtId="178" fontId="7" fillId="0" borderId="119" xfId="1" applyNumberFormat="1" applyFont="1" applyBorder="1" applyAlignment="1">
      <alignment vertical="center"/>
    </xf>
    <xf numFmtId="38" fontId="7" fillId="0" borderId="126" xfId="1" applyFont="1" applyFill="1" applyBorder="1" applyAlignment="1">
      <alignment vertical="center"/>
    </xf>
    <xf numFmtId="38" fontId="7" fillId="0" borderId="119" xfId="1" applyFont="1" applyFill="1" applyBorder="1" applyAlignment="1">
      <alignment vertical="center"/>
    </xf>
    <xf numFmtId="38" fontId="7" fillId="0" borderId="155" xfId="1" applyFont="1" applyBorder="1" applyAlignment="1">
      <alignment vertical="center"/>
    </xf>
    <xf numFmtId="178" fontId="7" fillId="0" borderId="121" xfId="1" applyNumberFormat="1" applyFont="1" applyBorder="1" applyAlignment="1">
      <alignment vertical="center"/>
    </xf>
    <xf numFmtId="38" fontId="7" fillId="0" borderId="130" xfId="1" applyFont="1" applyBorder="1" applyAlignment="1">
      <alignment vertical="center"/>
    </xf>
    <xf numFmtId="38" fontId="7" fillId="0" borderId="126" xfId="1" applyFont="1" applyBorder="1" applyAlignment="1">
      <alignment vertical="center"/>
    </xf>
    <xf numFmtId="38" fontId="7" fillId="4" borderId="155" xfId="1" applyFont="1" applyFill="1" applyBorder="1" applyAlignment="1">
      <alignment vertical="center"/>
    </xf>
    <xf numFmtId="38" fontId="7" fillId="4" borderId="126" xfId="1" applyFont="1" applyFill="1" applyBorder="1" applyAlignment="1">
      <alignment vertical="center"/>
    </xf>
    <xf numFmtId="3" fontId="7" fillId="4" borderId="119" xfId="1" applyNumberFormat="1" applyFont="1" applyFill="1" applyBorder="1" applyAlignment="1">
      <alignment vertical="center"/>
    </xf>
    <xf numFmtId="38" fontId="7" fillId="4" borderId="125" xfId="1" applyFont="1" applyFill="1" applyBorder="1" applyAlignment="1">
      <alignment vertical="center"/>
    </xf>
    <xf numFmtId="38" fontId="7" fillId="0" borderId="0" xfId="0" applyNumberFormat="1" applyFont="1" applyAlignment="1">
      <alignment vertical="center"/>
    </xf>
    <xf numFmtId="3" fontId="7" fillId="4" borderId="114" xfId="0" applyNumberFormat="1" applyFont="1" applyFill="1" applyBorder="1" applyAlignment="1">
      <alignment vertical="center"/>
    </xf>
    <xf numFmtId="3" fontId="7" fillId="0" borderId="200" xfId="0" applyNumberFormat="1" applyFont="1" applyBorder="1" applyAlignment="1">
      <alignment vertical="center"/>
    </xf>
    <xf numFmtId="3" fontId="7" fillId="0" borderId="60" xfId="0" applyNumberFormat="1" applyFont="1" applyBorder="1" applyAlignment="1">
      <alignment vertical="center"/>
    </xf>
    <xf numFmtId="3" fontId="7" fillId="0" borderId="201" xfId="0" applyNumberFormat="1" applyFont="1" applyBorder="1" applyAlignment="1">
      <alignment vertical="center"/>
    </xf>
    <xf numFmtId="3" fontId="7" fillId="0" borderId="179" xfId="0" applyNumberFormat="1" applyFont="1" applyBorder="1" applyAlignment="1">
      <alignment vertical="center"/>
    </xf>
    <xf numFmtId="38" fontId="7" fillId="0" borderId="130" xfId="1" applyFont="1" applyFill="1" applyBorder="1" applyAlignment="1">
      <alignment vertical="center"/>
    </xf>
    <xf numFmtId="178" fontId="7" fillId="4" borderId="125" xfId="1" applyNumberFormat="1" applyFont="1" applyFill="1" applyBorder="1" applyAlignment="1">
      <alignment vertical="center"/>
    </xf>
    <xf numFmtId="3" fontId="7" fillId="4" borderId="117" xfId="0" applyNumberFormat="1" applyFont="1" applyFill="1" applyBorder="1" applyAlignment="1">
      <alignment vertical="center"/>
    </xf>
    <xf numFmtId="3" fontId="7" fillId="0" borderId="142" xfId="0" applyNumberFormat="1" applyFont="1" applyBorder="1" applyAlignment="1">
      <alignment vertical="center"/>
    </xf>
    <xf numFmtId="3" fontId="7" fillId="0" borderId="56" xfId="0" applyNumberFormat="1" applyFont="1" applyBorder="1" applyAlignment="1">
      <alignment vertical="center"/>
    </xf>
    <xf numFmtId="3" fontId="7" fillId="0" borderId="57" xfId="0" applyNumberFormat="1" applyFont="1" applyBorder="1" applyAlignment="1">
      <alignment vertical="center"/>
    </xf>
    <xf numFmtId="3" fontId="7" fillId="0" borderId="105" xfId="0" applyNumberFormat="1" applyFont="1" applyBorder="1" applyAlignment="1">
      <alignment vertical="center"/>
    </xf>
    <xf numFmtId="3" fontId="7" fillId="0" borderId="95" xfId="0" applyNumberFormat="1" applyFont="1" applyBorder="1" applyAlignment="1">
      <alignment vertical="center"/>
    </xf>
    <xf numFmtId="3" fontId="7" fillId="0" borderId="128" xfId="0" applyNumberFormat="1" applyFont="1" applyBorder="1" applyAlignment="1">
      <alignment horizontal="right" vertical="center"/>
    </xf>
    <xf numFmtId="3" fontId="7" fillId="0" borderId="129" xfId="0" applyNumberFormat="1" applyFont="1" applyBorder="1" applyAlignment="1">
      <alignment horizontal="right" vertical="center"/>
    </xf>
    <xf numFmtId="3" fontId="7" fillId="0" borderId="123" xfId="0" applyNumberFormat="1" applyFont="1" applyBorder="1" applyAlignment="1">
      <alignment horizontal="right" vertical="center"/>
    </xf>
    <xf numFmtId="3" fontId="7" fillId="0" borderId="137" xfId="0" applyNumberFormat="1" applyFont="1" applyBorder="1" applyAlignment="1">
      <alignment horizontal="right" vertical="center"/>
    </xf>
    <xf numFmtId="38" fontId="7" fillId="0" borderId="123" xfId="1" applyFont="1" applyBorder="1" applyAlignment="1">
      <alignment vertical="center"/>
    </xf>
    <xf numFmtId="178" fontId="7" fillId="0" borderId="123" xfId="1" applyNumberFormat="1" applyFont="1" applyBorder="1" applyAlignment="1">
      <alignment vertical="center"/>
    </xf>
    <xf numFmtId="38" fontId="7" fillId="0" borderId="128" xfId="1" applyFont="1" applyBorder="1" applyAlignment="1">
      <alignment vertical="center"/>
    </xf>
    <xf numFmtId="38" fontId="7" fillId="0" borderId="129" xfId="1" applyFont="1" applyBorder="1" applyAlignment="1">
      <alignment vertical="center"/>
    </xf>
    <xf numFmtId="38" fontId="7" fillId="0" borderId="177" xfId="1" applyFont="1" applyBorder="1" applyAlignment="1">
      <alignment vertical="center"/>
    </xf>
    <xf numFmtId="38" fontId="7" fillId="0" borderId="137" xfId="1" applyFont="1" applyBorder="1" applyAlignment="1">
      <alignment vertical="center"/>
    </xf>
    <xf numFmtId="38" fontId="7" fillId="0" borderId="123" xfId="1" applyFont="1" applyFill="1" applyBorder="1" applyAlignment="1">
      <alignment vertical="center"/>
    </xf>
    <xf numFmtId="178" fontId="7" fillId="0" borderId="127" xfId="1" applyNumberFormat="1" applyFont="1" applyBorder="1" applyAlignment="1">
      <alignment vertical="center"/>
    </xf>
    <xf numFmtId="38" fontId="7" fillId="0" borderId="147" xfId="1" applyFont="1" applyFill="1" applyBorder="1" applyAlignment="1">
      <alignment vertical="center"/>
    </xf>
    <xf numFmtId="38" fontId="7" fillId="0" borderId="129" xfId="1" applyFont="1" applyFill="1" applyBorder="1" applyAlignment="1">
      <alignment vertical="center"/>
    </xf>
    <xf numFmtId="38" fontId="7" fillId="4" borderId="177" xfId="1" applyFont="1" applyFill="1" applyBorder="1" applyAlignment="1">
      <alignment vertical="center"/>
    </xf>
    <xf numFmtId="38" fontId="7" fillId="4" borderId="129" xfId="1" applyFont="1" applyFill="1" applyBorder="1" applyAlignment="1">
      <alignment vertical="center"/>
    </xf>
    <xf numFmtId="3" fontId="7" fillId="4" borderId="123" xfId="1" applyNumberFormat="1" applyFont="1" applyFill="1" applyBorder="1" applyAlignment="1">
      <alignment vertical="center"/>
    </xf>
    <xf numFmtId="178" fontId="7" fillId="4" borderId="128" xfId="1" applyNumberFormat="1" applyFont="1" applyFill="1" applyBorder="1" applyAlignment="1">
      <alignment vertical="center"/>
    </xf>
    <xf numFmtId="178" fontId="7" fillId="4" borderId="38" xfId="1" applyNumberFormat="1" applyFont="1" applyFill="1" applyBorder="1" applyAlignment="1">
      <alignment vertical="center"/>
    </xf>
    <xf numFmtId="0" fontId="7" fillId="0" borderId="39" xfId="0" applyFont="1" applyBorder="1" applyAlignment="1">
      <alignment vertical="center"/>
    </xf>
    <xf numFmtId="3" fontId="7" fillId="0" borderId="183" xfId="0" applyNumberFormat="1" applyFont="1" applyBorder="1" applyAlignment="1">
      <alignment vertical="center"/>
    </xf>
    <xf numFmtId="3" fontId="7" fillId="0" borderId="184" xfId="0" applyNumberFormat="1" applyFont="1" applyBorder="1" applyAlignment="1">
      <alignment vertical="center"/>
    </xf>
    <xf numFmtId="3" fontId="7" fillId="0" borderId="172" xfId="0" applyNumberFormat="1" applyFont="1" applyBorder="1" applyAlignment="1">
      <alignment vertical="center"/>
    </xf>
    <xf numFmtId="3" fontId="7" fillId="0" borderId="185" xfId="0" applyNumberFormat="1" applyFont="1" applyBorder="1" applyAlignment="1">
      <alignment vertical="center"/>
    </xf>
    <xf numFmtId="3" fontId="7" fillId="0" borderId="186" xfId="0" applyNumberFormat="1" applyFont="1" applyBorder="1" applyAlignment="1">
      <alignment vertical="center"/>
    </xf>
    <xf numFmtId="3" fontId="7" fillId="0" borderId="187" xfId="0" applyNumberFormat="1" applyFont="1" applyBorder="1" applyAlignment="1">
      <alignment horizontal="right" vertical="center"/>
    </xf>
    <xf numFmtId="3" fontId="7" fillId="0" borderId="188" xfId="0" applyNumberFormat="1" applyFont="1" applyBorder="1" applyAlignment="1">
      <alignment horizontal="right" vertical="center"/>
    </xf>
    <xf numFmtId="3" fontId="7" fillId="0" borderId="172" xfId="0" applyNumberFormat="1" applyFont="1" applyBorder="1" applyAlignment="1">
      <alignment horizontal="right" vertical="center"/>
    </xf>
    <xf numFmtId="3" fontId="7" fillId="0" borderId="189" xfId="0" applyNumberFormat="1" applyFont="1" applyBorder="1" applyAlignment="1">
      <alignment horizontal="right" vertical="center"/>
    </xf>
    <xf numFmtId="38" fontId="7" fillId="0" borderId="172" xfId="1" applyFont="1" applyBorder="1" applyAlignment="1">
      <alignment vertical="center"/>
    </xf>
    <xf numFmtId="178" fontId="7" fillId="0" borderId="172" xfId="1" applyNumberFormat="1" applyFont="1" applyBorder="1" applyAlignment="1">
      <alignment vertical="center"/>
    </xf>
    <xf numFmtId="38" fontId="6" fillId="0" borderId="188" xfId="1" applyFont="1" applyBorder="1" applyAlignment="1">
      <alignment vertical="center"/>
    </xf>
    <xf numFmtId="38" fontId="7" fillId="0" borderId="182" xfId="1" applyFont="1" applyBorder="1" applyAlignment="1">
      <alignment vertical="center"/>
    </xf>
    <xf numFmtId="38" fontId="7" fillId="0" borderId="189" xfId="1" applyFont="1" applyBorder="1" applyAlignment="1">
      <alignment vertical="center"/>
    </xf>
    <xf numFmtId="38" fontId="7" fillId="0" borderId="172" xfId="1" applyFont="1" applyFill="1" applyBorder="1" applyAlignment="1">
      <alignment vertical="center"/>
    </xf>
    <xf numFmtId="178" fontId="7" fillId="0" borderId="186" xfId="1" applyNumberFormat="1" applyFont="1" applyBorder="1" applyAlignment="1">
      <alignment vertical="center"/>
    </xf>
    <xf numFmtId="38" fontId="7" fillId="4" borderId="169" xfId="1" applyFont="1" applyFill="1" applyBorder="1" applyAlignment="1">
      <alignment vertical="center"/>
    </xf>
    <xf numFmtId="38" fontId="7" fillId="4" borderId="188" xfId="1" applyFont="1" applyFill="1" applyBorder="1" applyAlignment="1">
      <alignment vertical="center"/>
    </xf>
    <xf numFmtId="38" fontId="7" fillId="4" borderId="182" xfId="1" applyFont="1" applyFill="1" applyBorder="1" applyAlignment="1">
      <alignment vertical="center"/>
    </xf>
    <xf numFmtId="38" fontId="7" fillId="4" borderId="187" xfId="1" applyFont="1" applyFill="1" applyBorder="1" applyAlignment="1">
      <alignment vertical="center"/>
    </xf>
    <xf numFmtId="3" fontId="3" fillId="0" borderId="51" xfId="0" applyNumberFormat="1" applyFont="1" applyBorder="1" applyAlignment="1">
      <alignment horizontal="center" vertical="center"/>
    </xf>
    <xf numFmtId="3" fontId="3" fillId="0" borderId="37" xfId="0" applyNumberFormat="1" applyFont="1" applyBorder="1" applyAlignment="1">
      <alignment horizontal="center" vertical="center"/>
    </xf>
    <xf numFmtId="3" fontId="3" fillId="0" borderId="82" xfId="0" applyNumberFormat="1" applyFont="1" applyBorder="1" applyAlignment="1">
      <alignment horizontal="center" vertical="center"/>
    </xf>
    <xf numFmtId="38" fontId="6" fillId="0" borderId="55" xfId="1" applyFont="1" applyBorder="1" applyAlignment="1">
      <alignment vertical="center"/>
    </xf>
    <xf numFmtId="38" fontId="7" fillId="4" borderId="41" xfId="1" applyFont="1" applyFill="1" applyBorder="1" applyAlignment="1">
      <alignment vertical="center"/>
    </xf>
    <xf numFmtId="0" fontId="3" fillId="9" borderId="20" xfId="0" applyFont="1" applyFill="1" applyBorder="1" applyAlignment="1">
      <alignment vertical="center"/>
    </xf>
    <xf numFmtId="3" fontId="7" fillId="0" borderId="140" xfId="0" applyNumberFormat="1" applyFont="1" applyBorder="1" applyAlignment="1">
      <alignment vertical="center"/>
    </xf>
    <xf numFmtId="3" fontId="7" fillId="0" borderId="63" xfId="0" applyNumberFormat="1" applyFont="1" applyBorder="1" applyAlignment="1">
      <alignment vertical="center"/>
    </xf>
    <xf numFmtId="3" fontId="7" fillId="0" borderId="62" xfId="0" applyNumberFormat="1" applyFont="1" applyBorder="1" applyAlignment="1">
      <alignment vertical="center"/>
    </xf>
    <xf numFmtId="3" fontId="7" fillId="0" borderId="104" xfId="0" applyNumberFormat="1" applyFont="1" applyBorder="1" applyAlignment="1">
      <alignment vertical="center"/>
    </xf>
    <xf numFmtId="3" fontId="7" fillId="0" borderId="94" xfId="0" applyNumberFormat="1" applyFont="1" applyBorder="1" applyAlignment="1">
      <alignment vertical="center"/>
    </xf>
    <xf numFmtId="3" fontId="7" fillId="0" borderId="38" xfId="0" applyNumberFormat="1" applyFont="1" applyBorder="1" applyAlignment="1">
      <alignment horizontal="right" vertical="center"/>
    </xf>
    <xf numFmtId="3" fontId="7" fillId="0" borderId="61" xfId="0" applyNumberFormat="1" applyFont="1" applyBorder="1" applyAlignment="1">
      <alignment horizontal="right" vertical="center"/>
    </xf>
    <xf numFmtId="3" fontId="7" fillId="0" borderId="83" xfId="0" applyNumberFormat="1" applyFont="1" applyBorder="1" applyAlignment="1">
      <alignment horizontal="right" vertical="center"/>
    </xf>
    <xf numFmtId="178" fontId="7" fillId="0" borderId="62" xfId="1" applyNumberFormat="1" applyFont="1" applyBorder="1" applyAlignment="1">
      <alignment vertical="center"/>
    </xf>
    <xf numFmtId="38" fontId="7" fillId="0" borderId="162" xfId="1" applyFont="1" applyBorder="1" applyAlignment="1">
      <alignment vertical="center"/>
    </xf>
    <xf numFmtId="38" fontId="7" fillId="0" borderId="83" xfId="1" applyFont="1" applyBorder="1" applyAlignment="1">
      <alignment vertical="center"/>
    </xf>
    <xf numFmtId="178" fontId="7" fillId="0" borderId="94" xfId="1" applyNumberFormat="1" applyFont="1" applyBorder="1" applyAlignment="1">
      <alignment vertical="center"/>
    </xf>
    <xf numFmtId="38" fontId="7" fillId="4" borderId="113" xfId="1" applyFont="1" applyFill="1" applyBorder="1" applyAlignment="1">
      <alignment vertical="center"/>
    </xf>
    <xf numFmtId="38" fontId="7" fillId="4" borderId="61" xfId="1" applyFont="1" applyFill="1" applyBorder="1" applyAlignment="1">
      <alignment vertical="center"/>
    </xf>
    <xf numFmtId="38" fontId="7" fillId="4" borderId="162" xfId="1" applyFont="1" applyFill="1" applyBorder="1" applyAlignment="1">
      <alignment vertical="center"/>
    </xf>
    <xf numFmtId="3" fontId="7" fillId="4" borderId="62" xfId="1" applyNumberFormat="1" applyFont="1" applyFill="1" applyBorder="1" applyAlignment="1">
      <alignment vertical="center"/>
    </xf>
    <xf numFmtId="38" fontId="7" fillId="4" borderId="38" xfId="1" applyFont="1" applyFill="1" applyBorder="1" applyAlignment="1">
      <alignment vertical="center"/>
    </xf>
    <xf numFmtId="3" fontId="7" fillId="4" borderId="174" xfId="0" applyNumberFormat="1" applyFont="1" applyFill="1" applyBorder="1" applyAlignment="1">
      <alignment vertical="center"/>
    </xf>
    <xf numFmtId="38" fontId="7" fillId="4" borderId="130" xfId="1" applyFont="1" applyFill="1" applyBorder="1" applyAlignment="1">
      <alignment vertical="center"/>
    </xf>
    <xf numFmtId="3" fontId="7" fillId="0" borderId="122" xfId="0" applyNumberFormat="1" applyFont="1" applyBorder="1" applyAlignment="1">
      <alignment vertical="center"/>
    </xf>
    <xf numFmtId="3" fontId="7" fillId="0" borderId="123" xfId="0" applyNumberFormat="1" applyFont="1" applyBorder="1" applyAlignment="1">
      <alignment vertical="center"/>
    </xf>
    <xf numFmtId="3" fontId="7" fillId="0" borderId="124" xfId="0" applyNumberFormat="1" applyFont="1" applyBorder="1" applyAlignment="1">
      <alignment vertical="center"/>
    </xf>
    <xf numFmtId="3" fontId="7" fillId="0" borderId="127" xfId="0" applyNumberFormat="1" applyFont="1" applyBorder="1" applyAlignment="1">
      <alignment vertical="center"/>
    </xf>
    <xf numFmtId="38" fontId="7" fillId="4" borderId="147" xfId="1" applyFont="1" applyFill="1" applyBorder="1" applyAlignment="1">
      <alignment vertical="center"/>
    </xf>
    <xf numFmtId="38" fontId="7" fillId="4" borderId="128" xfId="1" applyFont="1" applyFill="1" applyBorder="1" applyAlignment="1">
      <alignment vertical="center"/>
    </xf>
    <xf numFmtId="178" fontId="7" fillId="0" borderId="41" xfId="1" applyNumberFormat="1" applyFont="1" applyFill="1" applyBorder="1" applyAlignment="1">
      <alignment vertical="center"/>
    </xf>
    <xf numFmtId="0" fontId="3" fillId="9" borderId="3" xfId="0" applyFont="1" applyFill="1" applyBorder="1" applyAlignment="1">
      <alignment vertical="center"/>
    </xf>
    <xf numFmtId="38" fontId="7" fillId="9" borderId="6" xfId="1" applyFont="1" applyFill="1" applyBorder="1" applyAlignment="1">
      <alignment vertical="center"/>
    </xf>
    <xf numFmtId="0" fontId="7" fillId="0" borderId="15" xfId="0" applyFont="1" applyFill="1" applyBorder="1" applyAlignment="1">
      <alignment vertical="center"/>
    </xf>
    <xf numFmtId="3" fontId="7" fillId="0" borderId="112" xfId="0" applyNumberFormat="1" applyFont="1" applyFill="1" applyBorder="1" applyAlignment="1">
      <alignment vertical="center"/>
    </xf>
    <xf numFmtId="38" fontId="7" fillId="0" borderId="83" xfId="1" applyFont="1" applyFill="1" applyBorder="1" applyAlignment="1">
      <alignment vertical="center"/>
    </xf>
    <xf numFmtId="38" fontId="7" fillId="4" borderId="62" xfId="1" applyFont="1" applyFill="1" applyBorder="1" applyAlignment="1">
      <alignment vertical="center"/>
    </xf>
    <xf numFmtId="178" fontId="7" fillId="0" borderId="94" xfId="1" applyNumberFormat="1" applyFont="1" applyFill="1" applyBorder="1" applyAlignment="1">
      <alignment vertical="center"/>
    </xf>
    <xf numFmtId="178" fontId="7" fillId="0" borderId="38" xfId="1" applyNumberFormat="1" applyFont="1" applyFill="1" applyBorder="1" applyAlignment="1">
      <alignment vertical="center"/>
    </xf>
    <xf numFmtId="3" fontId="4" fillId="7" borderId="165" xfId="0" applyNumberFormat="1" applyFont="1" applyFill="1" applyBorder="1" applyAlignment="1">
      <alignment vertical="center"/>
    </xf>
    <xf numFmtId="3" fontId="4" fillId="7" borderId="198" xfId="0" applyNumberFormat="1" applyFont="1" applyFill="1" applyBorder="1" applyAlignment="1">
      <alignment vertical="center"/>
    </xf>
    <xf numFmtId="3" fontId="4" fillId="7" borderId="115" xfId="0" applyNumberFormat="1" applyFont="1" applyFill="1" applyBorder="1" applyAlignment="1">
      <alignment horizontal="right" vertical="center"/>
    </xf>
    <xf numFmtId="3" fontId="4" fillId="7" borderId="42" xfId="0" applyNumberFormat="1" applyFont="1" applyFill="1" applyBorder="1" applyAlignment="1">
      <alignment horizontal="right" vertical="center"/>
    </xf>
    <xf numFmtId="3" fontId="4" fillId="7" borderId="164" xfId="0" applyNumberFormat="1" applyFont="1" applyFill="1" applyBorder="1" applyAlignment="1">
      <alignment horizontal="right" vertical="center"/>
    </xf>
    <xf numFmtId="3" fontId="4" fillId="7" borderId="115" xfId="0" applyNumberFormat="1" applyFont="1" applyFill="1" applyBorder="1" applyAlignment="1">
      <alignment vertical="center"/>
    </xf>
    <xf numFmtId="3" fontId="4" fillId="7" borderId="42" xfId="0" applyNumberFormat="1" applyFont="1" applyFill="1" applyBorder="1" applyAlignment="1">
      <alignment vertical="center"/>
    </xf>
    <xf numFmtId="3" fontId="4" fillId="7" borderId="116" xfId="0" applyNumberFormat="1" applyFont="1" applyFill="1" applyBorder="1" applyAlignment="1">
      <alignment vertical="center"/>
    </xf>
    <xf numFmtId="3" fontId="4" fillId="7" borderId="199" xfId="0" applyNumberFormat="1" applyFont="1" applyFill="1" applyBorder="1" applyAlignment="1">
      <alignment vertical="center"/>
    </xf>
    <xf numFmtId="3" fontId="4" fillId="7" borderId="53" xfId="0" applyNumberFormat="1" applyFont="1" applyFill="1" applyBorder="1" applyAlignment="1">
      <alignment horizontal="right" vertical="center"/>
    </xf>
    <xf numFmtId="3" fontId="4" fillId="7" borderId="12" xfId="0" applyNumberFormat="1" applyFont="1" applyFill="1" applyBorder="1" applyAlignment="1">
      <alignment horizontal="right" vertical="center"/>
    </xf>
    <xf numFmtId="38" fontId="4" fillId="7" borderId="42" xfId="1" applyFont="1" applyFill="1" applyBorder="1" applyAlignment="1">
      <alignment vertical="center"/>
    </xf>
    <xf numFmtId="178" fontId="4" fillId="7" borderId="42" xfId="1" applyNumberFormat="1" applyFont="1" applyFill="1" applyBorder="1" applyAlignment="1">
      <alignment vertical="center"/>
    </xf>
    <xf numFmtId="38" fontId="4" fillId="7" borderId="53" xfId="1" applyFont="1" applyFill="1" applyBorder="1" applyAlignment="1">
      <alignment vertical="center"/>
    </xf>
    <xf numFmtId="38" fontId="4" fillId="7" borderId="12" xfId="1" applyFont="1" applyFill="1" applyBorder="1" applyAlignment="1">
      <alignment vertical="center"/>
    </xf>
    <xf numFmtId="38" fontId="4" fillId="7" borderId="173" xfId="1" applyFont="1" applyFill="1" applyBorder="1" applyAlignment="1">
      <alignment vertical="center"/>
    </xf>
    <xf numFmtId="38" fontId="4" fillId="7" borderId="164" xfId="1" applyFont="1" applyFill="1" applyBorder="1" applyAlignment="1">
      <alignment vertical="center"/>
    </xf>
    <xf numFmtId="178" fontId="4" fillId="7" borderId="199" xfId="1" applyNumberFormat="1" applyFont="1" applyFill="1" applyBorder="1" applyAlignment="1">
      <alignment vertical="center"/>
    </xf>
    <xf numFmtId="38" fontId="4" fillId="7" borderId="170" xfId="1" applyFont="1" applyFill="1" applyBorder="1" applyAlignment="1">
      <alignment vertical="center"/>
    </xf>
    <xf numFmtId="3" fontId="4" fillId="7" borderId="42" xfId="1" applyNumberFormat="1" applyFont="1" applyFill="1" applyBorder="1" applyAlignment="1">
      <alignment vertical="center"/>
    </xf>
    <xf numFmtId="38" fontId="5" fillId="7" borderId="53" xfId="1" applyFont="1" applyFill="1" applyBorder="1" applyAlignment="1">
      <alignment vertical="center"/>
    </xf>
    <xf numFmtId="38" fontId="7" fillId="4" borderId="81" xfId="1" applyFont="1" applyFill="1" applyBorder="1" applyAlignment="1">
      <alignment vertical="center"/>
    </xf>
    <xf numFmtId="3" fontId="7" fillId="0" borderId="56" xfId="0" applyNumberFormat="1" applyFont="1" applyFill="1" applyBorder="1" applyAlignment="1">
      <alignment vertical="center"/>
    </xf>
    <xf numFmtId="3" fontId="7" fillId="0" borderId="57" xfId="0" applyNumberFormat="1" applyFont="1" applyFill="1" applyBorder="1" applyAlignment="1">
      <alignment vertical="center"/>
    </xf>
    <xf numFmtId="3" fontId="7" fillId="0" borderId="84" xfId="0" applyNumberFormat="1" applyFont="1" applyFill="1" applyBorder="1" applyAlignment="1">
      <alignment vertical="center"/>
    </xf>
    <xf numFmtId="3" fontId="7" fillId="0" borderId="105" xfId="0" applyNumberFormat="1" applyFont="1" applyFill="1" applyBorder="1" applyAlignment="1">
      <alignment vertical="center"/>
    </xf>
    <xf numFmtId="3" fontId="7" fillId="0" borderId="95" xfId="0" applyNumberFormat="1" applyFont="1" applyFill="1" applyBorder="1" applyAlignment="1">
      <alignment vertical="center"/>
    </xf>
    <xf numFmtId="3" fontId="7" fillId="0" borderId="27" xfId="0" applyNumberFormat="1" applyFont="1" applyFill="1" applyBorder="1" applyAlignment="1">
      <alignment horizontal="right" vertical="center"/>
    </xf>
    <xf numFmtId="3" fontId="7" fillId="0" borderId="14" xfId="0" applyNumberFormat="1" applyFont="1" applyFill="1" applyBorder="1" applyAlignment="1">
      <alignment horizontal="right" vertical="center"/>
    </xf>
    <xf numFmtId="3" fontId="7" fillId="0" borderId="57" xfId="0" applyNumberFormat="1" applyFont="1" applyFill="1" applyBorder="1" applyAlignment="1">
      <alignment horizontal="right" vertical="center"/>
    </xf>
    <xf numFmtId="3" fontId="7" fillId="0" borderId="84" xfId="0" applyNumberFormat="1" applyFont="1" applyFill="1" applyBorder="1" applyAlignment="1">
      <alignment horizontal="right" vertical="center"/>
    </xf>
    <xf numFmtId="38" fontId="7" fillId="0" borderId="57" xfId="1" applyFont="1" applyFill="1" applyBorder="1" applyAlignment="1">
      <alignment vertical="center"/>
    </xf>
    <xf numFmtId="178" fontId="7" fillId="0" borderId="57" xfId="1" applyNumberFormat="1" applyFont="1" applyFill="1" applyBorder="1" applyAlignment="1">
      <alignment vertical="center"/>
    </xf>
    <xf numFmtId="38" fontId="7" fillId="0" borderId="27" xfId="1" applyFont="1" applyFill="1" applyBorder="1" applyAlignment="1">
      <alignment vertical="center"/>
    </xf>
    <xf numFmtId="38" fontId="6" fillId="0" borderId="14" xfId="1" applyFont="1" applyFill="1" applyBorder="1" applyAlignment="1">
      <alignment horizontal="center" vertical="center"/>
    </xf>
    <xf numFmtId="38" fontId="7" fillId="0" borderId="156" xfId="1" applyFont="1" applyFill="1" applyBorder="1" applyAlignment="1">
      <alignment vertical="center"/>
    </xf>
    <xf numFmtId="38" fontId="7" fillId="4" borderId="84" xfId="1" applyFont="1" applyFill="1" applyBorder="1" applyAlignment="1">
      <alignment vertical="center"/>
    </xf>
    <xf numFmtId="38" fontId="7" fillId="4" borderId="57" xfId="1" applyFont="1" applyFill="1" applyBorder="1" applyAlignment="1">
      <alignment vertical="center"/>
    </xf>
    <xf numFmtId="178" fontId="7" fillId="0" borderId="95" xfId="1" applyNumberFormat="1" applyFont="1" applyFill="1" applyBorder="1" applyAlignment="1">
      <alignment vertical="center"/>
    </xf>
    <xf numFmtId="38" fontId="7" fillId="0" borderId="135" xfId="1" applyFont="1" applyFill="1" applyBorder="1" applyAlignment="1">
      <alignment vertical="center"/>
    </xf>
    <xf numFmtId="38" fontId="7" fillId="0" borderId="14" xfId="1" applyFont="1" applyFill="1" applyBorder="1" applyAlignment="1">
      <alignment vertical="center"/>
    </xf>
    <xf numFmtId="3" fontId="7" fillId="0" borderId="60" xfId="1" applyNumberFormat="1" applyFont="1" applyFill="1" applyBorder="1" applyAlignment="1">
      <alignment vertical="center"/>
    </xf>
    <xf numFmtId="38" fontId="7" fillId="0" borderId="58" xfId="1" applyFont="1" applyFill="1" applyBorder="1" applyAlignment="1">
      <alignment vertical="center"/>
    </xf>
    <xf numFmtId="3" fontId="7" fillId="9" borderId="0" xfId="0" applyNumberFormat="1" applyFont="1" applyFill="1" applyBorder="1" applyAlignment="1">
      <alignment vertical="center"/>
    </xf>
    <xf numFmtId="3" fontId="7" fillId="9" borderId="143" xfId="0" applyNumberFormat="1" applyFont="1" applyFill="1" applyBorder="1" applyAlignment="1">
      <alignment vertical="center"/>
    </xf>
    <xf numFmtId="3" fontId="10" fillId="4" borderId="33" xfId="0" applyNumberFormat="1" applyFont="1" applyFill="1" applyBorder="1" applyAlignment="1">
      <alignment vertical="center"/>
    </xf>
    <xf numFmtId="38" fontId="7" fillId="4" borderId="110" xfId="1" applyFont="1" applyFill="1" applyBorder="1" applyAlignment="1">
      <alignment vertical="center"/>
    </xf>
    <xf numFmtId="38" fontId="7" fillId="4" borderId="159" xfId="1" applyFont="1" applyFill="1" applyBorder="1" applyAlignment="1">
      <alignment vertical="center"/>
    </xf>
    <xf numFmtId="38" fontId="7" fillId="4" borderId="35" xfId="1" applyFont="1" applyFill="1" applyBorder="1" applyAlignment="1">
      <alignment vertical="center"/>
    </xf>
    <xf numFmtId="178" fontId="10" fillId="4" borderId="35" xfId="1" applyNumberFormat="1" applyFont="1" applyFill="1" applyBorder="1" applyAlignment="1">
      <alignment vertical="center"/>
    </xf>
    <xf numFmtId="178" fontId="7" fillId="4" borderId="92" xfId="1" applyNumberFormat="1" applyFont="1" applyFill="1" applyBorder="1" applyAlignment="1">
      <alignment vertical="center"/>
    </xf>
    <xf numFmtId="0" fontId="7" fillId="0" borderId="175" xfId="0" applyFont="1" applyBorder="1" applyAlignment="1">
      <alignment vertical="center"/>
    </xf>
    <xf numFmtId="3" fontId="10" fillId="4" borderId="36" xfId="0" applyNumberFormat="1" applyFont="1" applyFill="1" applyBorder="1" applyAlignment="1">
      <alignment vertical="center"/>
    </xf>
    <xf numFmtId="178" fontId="7" fillId="4" borderId="93" xfId="1" applyNumberFormat="1" applyFont="1" applyFill="1" applyBorder="1" applyAlignment="1">
      <alignment vertical="center"/>
    </xf>
    <xf numFmtId="3" fontId="7" fillId="0" borderId="36" xfId="0" applyNumberFormat="1" applyFont="1" applyFill="1" applyBorder="1" applyAlignment="1">
      <alignment vertical="center"/>
    </xf>
    <xf numFmtId="3" fontId="5" fillId="0" borderId="133" xfId="0" applyNumberFormat="1" applyFont="1" applyFill="1" applyBorder="1" applyAlignment="1">
      <alignment vertical="center"/>
    </xf>
    <xf numFmtId="38" fontId="6" fillId="0" borderId="55" xfId="1" applyFont="1" applyFill="1" applyBorder="1" applyAlignment="1">
      <alignment vertical="center"/>
    </xf>
    <xf numFmtId="3" fontId="7" fillId="4" borderId="202" xfId="0" applyNumberFormat="1" applyFont="1" applyFill="1" applyBorder="1" applyAlignment="1">
      <alignment vertical="center"/>
    </xf>
    <xf numFmtId="38" fontId="7" fillId="0" borderId="37" xfId="1" applyFont="1" applyFill="1" applyBorder="1" applyAlignment="1">
      <alignment horizontal="right" vertical="center"/>
    </xf>
    <xf numFmtId="0" fontId="3" fillId="9" borderId="39" xfId="0" applyFont="1" applyFill="1" applyBorder="1" applyAlignment="1">
      <alignment vertical="center"/>
    </xf>
    <xf numFmtId="0" fontId="4" fillId="6" borderId="15" xfId="0" applyFont="1" applyFill="1" applyBorder="1" applyAlignment="1">
      <alignment vertical="center"/>
    </xf>
    <xf numFmtId="38" fontId="7" fillId="6" borderId="27" xfId="1" applyFont="1" applyFill="1" applyBorder="1" applyAlignment="1">
      <alignment vertical="center"/>
    </xf>
    <xf numFmtId="0" fontId="4" fillId="6" borderId="149" xfId="0" applyFont="1" applyFill="1" applyBorder="1" applyAlignment="1">
      <alignment vertical="center"/>
    </xf>
    <xf numFmtId="38" fontId="7" fillId="6" borderId="32" xfId="1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178" fontId="7" fillId="0" borderId="5" xfId="1" applyNumberFormat="1" applyFont="1" applyBorder="1" applyAlignment="1">
      <alignment vertical="center"/>
    </xf>
    <xf numFmtId="178" fontId="7" fillId="0" borderId="6" xfId="1" applyNumberFormat="1" applyFont="1" applyBorder="1" applyAlignment="1">
      <alignment vertical="center"/>
    </xf>
    <xf numFmtId="178" fontId="7" fillId="0" borderId="32" xfId="1" applyNumberFormat="1" applyFont="1" applyBorder="1" applyAlignment="1">
      <alignment vertical="center"/>
    </xf>
    <xf numFmtId="0" fontId="3" fillId="10" borderId="206" xfId="0" applyFont="1" applyFill="1" applyBorder="1" applyAlignment="1">
      <alignment vertical="center" wrapText="1"/>
    </xf>
    <xf numFmtId="3" fontId="7" fillId="0" borderId="84" xfId="0" applyNumberFormat="1" applyFont="1" applyBorder="1" applyAlignment="1">
      <alignment vertical="center"/>
    </xf>
    <xf numFmtId="3" fontId="7" fillId="0" borderId="27" xfId="0" applyNumberFormat="1" applyFont="1" applyBorder="1" applyAlignment="1">
      <alignment horizontal="right" vertical="center"/>
    </xf>
    <xf numFmtId="3" fontId="7" fillId="0" borderId="14" xfId="0" applyNumberFormat="1" applyFont="1" applyBorder="1" applyAlignment="1">
      <alignment horizontal="right" vertical="center"/>
    </xf>
    <xf numFmtId="3" fontId="7" fillId="0" borderId="57" xfId="0" applyNumberFormat="1" applyFont="1" applyBorder="1" applyAlignment="1">
      <alignment horizontal="right" vertical="center"/>
    </xf>
    <xf numFmtId="3" fontId="7" fillId="0" borderId="84" xfId="0" applyNumberFormat="1" applyFont="1" applyBorder="1" applyAlignment="1">
      <alignment horizontal="right" vertical="center"/>
    </xf>
    <xf numFmtId="38" fontId="7" fillId="0" borderId="57" xfId="1" applyFont="1" applyBorder="1" applyAlignment="1">
      <alignment vertical="center"/>
    </xf>
    <xf numFmtId="178" fontId="7" fillId="0" borderId="57" xfId="1" applyNumberFormat="1" applyFont="1" applyBorder="1" applyAlignment="1">
      <alignment vertical="center"/>
    </xf>
    <xf numFmtId="38" fontId="7" fillId="0" borderId="14" xfId="1" applyFont="1" applyBorder="1" applyAlignment="1">
      <alignment vertical="center"/>
    </xf>
    <xf numFmtId="38" fontId="7" fillId="0" borderId="156" xfId="1" applyFont="1" applyBorder="1" applyAlignment="1">
      <alignment vertical="center"/>
    </xf>
    <xf numFmtId="178" fontId="7" fillId="0" borderId="95" xfId="1" applyNumberFormat="1" applyFont="1" applyBorder="1" applyAlignment="1">
      <alignment vertical="center"/>
    </xf>
    <xf numFmtId="38" fontId="7" fillId="0" borderId="135" xfId="1" applyFont="1" applyBorder="1" applyAlignment="1">
      <alignment vertical="center"/>
    </xf>
    <xf numFmtId="3" fontId="7" fillId="0" borderId="57" xfId="1" applyNumberFormat="1" applyFont="1" applyBorder="1" applyAlignment="1">
      <alignment vertical="center"/>
    </xf>
    <xf numFmtId="3" fontId="9" fillId="0" borderId="57" xfId="1" applyNumberFormat="1" applyFont="1" applyBorder="1" applyAlignment="1">
      <alignment vertical="center"/>
    </xf>
    <xf numFmtId="3" fontId="9" fillId="0" borderId="84" xfId="1" applyNumberFormat="1" applyFont="1" applyBorder="1" applyAlignment="1">
      <alignment vertical="center"/>
    </xf>
    <xf numFmtId="3" fontId="10" fillId="0" borderId="92" xfId="1" applyNumberFormat="1" applyFont="1" applyBorder="1" applyAlignment="1">
      <alignment vertical="center"/>
    </xf>
    <xf numFmtId="3" fontId="10" fillId="0" borderId="60" xfId="1" applyNumberFormat="1" applyFont="1" applyBorder="1" applyAlignment="1">
      <alignment vertical="center"/>
    </xf>
    <xf numFmtId="3" fontId="10" fillId="4" borderId="240" xfId="1" applyNumberFormat="1" applyFont="1" applyFill="1" applyBorder="1" applyAlignment="1">
      <alignment vertical="center"/>
    </xf>
    <xf numFmtId="3" fontId="10" fillId="0" borderId="83" xfId="1" applyNumberFormat="1" applyFont="1" applyBorder="1" applyAlignment="1">
      <alignment vertical="center"/>
    </xf>
    <xf numFmtId="3" fontId="10" fillId="4" borderId="85" xfId="1" applyNumberFormat="1" applyFont="1" applyFill="1" applyBorder="1" applyAlignment="1">
      <alignment vertical="center"/>
    </xf>
    <xf numFmtId="178" fontId="7" fillId="4" borderId="29" xfId="1" applyNumberFormat="1" applyFont="1" applyFill="1" applyBorder="1" applyAlignment="1">
      <alignment vertical="center"/>
    </xf>
    <xf numFmtId="3" fontId="10" fillId="0" borderId="84" xfId="1" applyNumberFormat="1" applyFont="1" applyBorder="1" applyAlignment="1">
      <alignment vertical="center"/>
    </xf>
    <xf numFmtId="3" fontId="10" fillId="0" borderId="57" xfId="1" applyNumberFormat="1" applyFont="1" applyBorder="1" applyAlignment="1">
      <alignment vertical="center"/>
    </xf>
    <xf numFmtId="3" fontId="11" fillId="6" borderId="79" xfId="1" applyNumberFormat="1" applyFont="1" applyFill="1" applyBorder="1" applyAlignment="1">
      <alignment vertical="center"/>
    </xf>
    <xf numFmtId="3" fontId="11" fillId="6" borderId="84" xfId="1" applyNumberFormat="1" applyFont="1" applyFill="1" applyBorder="1" applyAlignment="1">
      <alignment vertical="center"/>
    </xf>
    <xf numFmtId="3" fontId="22" fillId="0" borderId="23" xfId="1" applyNumberFormat="1" applyFont="1" applyBorder="1" applyAlignment="1">
      <alignment vertical="center"/>
    </xf>
    <xf numFmtId="38" fontId="23" fillId="4" borderId="35" xfId="1" applyFont="1" applyFill="1" applyBorder="1" applyAlignment="1">
      <alignment vertical="center" wrapText="1"/>
    </xf>
    <xf numFmtId="38" fontId="23" fillId="4" borderId="125" xfId="1" applyFont="1" applyFill="1" applyBorder="1" applyAlignment="1">
      <alignment vertical="center"/>
    </xf>
    <xf numFmtId="38" fontId="23" fillId="7" borderId="53" xfId="1" applyFont="1" applyFill="1" applyBorder="1" applyAlignment="1">
      <alignment vertical="center"/>
    </xf>
    <xf numFmtId="3" fontId="10" fillId="4" borderId="243" xfId="1" applyNumberFormat="1" applyFont="1" applyFill="1" applyBorder="1" applyAlignment="1">
      <alignment vertical="center"/>
    </xf>
    <xf numFmtId="3" fontId="10" fillId="4" borderId="244" xfId="1" applyNumberFormat="1" applyFont="1" applyFill="1" applyBorder="1" applyAlignment="1">
      <alignment vertical="center"/>
    </xf>
    <xf numFmtId="3" fontId="10" fillId="0" borderId="240" xfId="1" applyNumberFormat="1" applyFont="1" applyBorder="1" applyAlignment="1">
      <alignment vertical="center"/>
    </xf>
    <xf numFmtId="3" fontId="10" fillId="0" borderId="85" xfId="1" applyNumberFormat="1" applyFont="1" applyBorder="1" applyAlignment="1">
      <alignment vertical="center"/>
    </xf>
    <xf numFmtId="178" fontId="7" fillId="0" borderId="29" xfId="1" applyNumberFormat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31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131" xfId="0" applyFont="1" applyFill="1" applyBorder="1" applyAlignment="1">
      <alignment horizontal="center" vertical="center"/>
    </xf>
    <xf numFmtId="38" fontId="3" fillId="0" borderId="13" xfId="1" applyFont="1" applyBorder="1" applyAlignment="1">
      <alignment horizontal="right" vertical="center"/>
    </xf>
    <xf numFmtId="38" fontId="3" fillId="0" borderId="14" xfId="1" applyFont="1" applyBorder="1" applyAlignment="1">
      <alignment horizontal="right" vertical="center"/>
    </xf>
    <xf numFmtId="38" fontId="3" fillId="0" borderId="62" xfId="1" applyFont="1" applyBorder="1" applyAlignment="1">
      <alignment horizontal="right" vertical="center"/>
    </xf>
    <xf numFmtId="38" fontId="3" fillId="0" borderId="60" xfId="1" applyFont="1" applyBorder="1" applyAlignment="1">
      <alignment horizontal="right" vertical="center"/>
    </xf>
    <xf numFmtId="38" fontId="3" fillId="0" borderId="61" xfId="1" applyFont="1" applyBorder="1" applyAlignment="1">
      <alignment horizontal="right" vertical="center"/>
    </xf>
    <xf numFmtId="38" fontId="3" fillId="0" borderId="59" xfId="1" applyFont="1" applyBorder="1" applyAlignment="1">
      <alignment horizontal="right" vertical="center"/>
    </xf>
    <xf numFmtId="38" fontId="7" fillId="0" borderId="62" xfId="1" applyFont="1" applyBorder="1" applyAlignment="1">
      <alignment horizontal="right" vertical="center"/>
    </xf>
    <xf numFmtId="38" fontId="7" fillId="0" borderId="60" xfId="1" applyFont="1" applyBorder="1" applyAlignment="1">
      <alignment horizontal="right" vertical="center"/>
    </xf>
    <xf numFmtId="38" fontId="3" fillId="0" borderId="62" xfId="1" applyFont="1" applyBorder="1" applyAlignment="1">
      <alignment horizontal="center" vertical="center"/>
    </xf>
    <xf numFmtId="38" fontId="3" fillId="0" borderId="60" xfId="1" applyFont="1" applyBorder="1" applyAlignment="1">
      <alignment horizontal="center" vertical="center"/>
    </xf>
    <xf numFmtId="38" fontId="7" fillId="0" borderId="162" xfId="1" applyFont="1" applyBorder="1" applyAlignment="1">
      <alignment horizontal="right" vertical="center"/>
    </xf>
    <xf numFmtId="38" fontId="7" fillId="0" borderId="161" xfId="1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3" borderId="180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81" xfId="0" applyFont="1" applyFill="1" applyBorder="1" applyAlignment="1">
      <alignment horizontal="center" vertical="center"/>
    </xf>
    <xf numFmtId="38" fontId="7" fillId="0" borderId="61" xfId="1" applyFont="1" applyBorder="1" applyAlignment="1">
      <alignment horizontal="right" vertical="center"/>
    </xf>
    <xf numFmtId="38" fontId="7" fillId="0" borderId="14" xfId="1" applyFont="1" applyBorder="1" applyAlignment="1">
      <alignment horizontal="right" vertical="center"/>
    </xf>
    <xf numFmtId="38" fontId="7" fillId="0" borderId="59" xfId="1" applyFont="1" applyBorder="1" applyAlignment="1">
      <alignment horizontal="right" vertical="center"/>
    </xf>
    <xf numFmtId="38" fontId="7" fillId="0" borderId="57" xfId="1" applyFont="1" applyBorder="1" applyAlignment="1">
      <alignment horizontal="right" vertical="center"/>
    </xf>
    <xf numFmtId="41" fontId="7" fillId="0" borderId="34" xfId="0" applyNumberFormat="1" applyFont="1" applyBorder="1" applyAlignment="1">
      <alignment horizontal="right" vertical="center"/>
    </xf>
    <xf numFmtId="41" fontId="7" fillId="0" borderId="159" xfId="0" applyNumberFormat="1" applyFont="1" applyBorder="1" applyAlignment="1">
      <alignment horizontal="right" vertical="center"/>
    </xf>
    <xf numFmtId="178" fontId="7" fillId="0" borderId="94" xfId="1" applyNumberFormat="1" applyFont="1" applyBorder="1" applyAlignment="1">
      <alignment horizontal="right" vertical="center"/>
    </xf>
    <xf numFmtId="178" fontId="7" fillId="0" borderId="95" xfId="1" applyNumberFormat="1" applyFont="1" applyBorder="1" applyAlignment="1">
      <alignment horizontal="right" vertical="center"/>
    </xf>
    <xf numFmtId="38" fontId="7" fillId="0" borderId="38" xfId="1" applyFont="1" applyBorder="1" applyAlignment="1">
      <alignment horizontal="right" vertical="center"/>
    </xf>
    <xf numFmtId="38" fontId="7" fillId="0" borderId="27" xfId="1" applyFont="1" applyBorder="1" applyAlignment="1">
      <alignment horizontal="right" vertical="center"/>
    </xf>
    <xf numFmtId="38" fontId="7" fillId="0" borderId="58" xfId="1" applyFont="1" applyBorder="1" applyAlignment="1">
      <alignment horizontal="right" vertical="center"/>
    </xf>
    <xf numFmtId="38" fontId="7" fillId="0" borderId="61" xfId="1" applyFont="1" applyFill="1" applyBorder="1" applyAlignment="1">
      <alignment horizontal="right" vertical="center"/>
    </xf>
    <xf numFmtId="38" fontId="7" fillId="0" borderId="59" xfId="1" applyFont="1" applyFill="1" applyBorder="1" applyAlignment="1">
      <alignment horizontal="right" vertical="center"/>
    </xf>
    <xf numFmtId="41" fontId="7" fillId="0" borderId="81" xfId="0" applyNumberFormat="1" applyFont="1" applyBorder="1" applyAlignment="1">
      <alignment horizontal="right" vertical="center"/>
    </xf>
    <xf numFmtId="38" fontId="7" fillId="0" borderId="61" xfId="1" applyFont="1" applyFill="1" applyBorder="1" applyAlignment="1">
      <alignment horizontal="center" vertical="center"/>
    </xf>
    <xf numFmtId="38" fontId="7" fillId="0" borderId="12" xfId="1" applyFont="1" applyFill="1" applyBorder="1" applyAlignment="1">
      <alignment horizontal="center" vertical="center"/>
    </xf>
    <xf numFmtId="38" fontId="7" fillId="0" borderId="12" xfId="1" applyFont="1" applyBorder="1" applyAlignment="1">
      <alignment horizontal="right" vertical="center"/>
    </xf>
    <xf numFmtId="38" fontId="6" fillId="0" borderId="61" xfId="1" applyFont="1" applyFill="1" applyBorder="1" applyAlignment="1">
      <alignment horizontal="right" vertical="center"/>
    </xf>
    <xf numFmtId="38" fontId="6" fillId="0" borderId="14" xfId="1" applyFont="1" applyFill="1" applyBorder="1" applyAlignment="1">
      <alignment horizontal="right" vertical="center"/>
    </xf>
    <xf numFmtId="38" fontId="6" fillId="0" borderId="12" xfId="1" applyFont="1" applyFill="1" applyBorder="1" applyAlignment="1">
      <alignment horizontal="right" vertical="center"/>
    </xf>
    <xf numFmtId="3" fontId="7" fillId="0" borderId="34" xfId="0" applyNumberFormat="1" applyFont="1" applyBorder="1" applyAlignment="1">
      <alignment horizontal="center" vertical="center"/>
    </xf>
    <xf numFmtId="3" fontId="7" fillId="0" borderId="81" xfId="0" applyNumberFormat="1" applyFont="1" applyBorder="1" applyAlignment="1">
      <alignment horizontal="center" vertical="center"/>
    </xf>
    <xf numFmtId="3" fontId="7" fillId="0" borderId="50" xfId="0" applyNumberFormat="1" applyFont="1" applyBorder="1" applyAlignment="1">
      <alignment horizontal="center" vertical="center"/>
    </xf>
    <xf numFmtId="3" fontId="7" fillId="0" borderId="102" xfId="0" applyNumberFormat="1" applyFont="1" applyBorder="1" applyAlignment="1">
      <alignment horizontal="center" vertical="center"/>
    </xf>
    <xf numFmtId="3" fontId="7" fillId="0" borderId="92" xfId="0" applyNumberFormat="1" applyFont="1" applyBorder="1" applyAlignment="1">
      <alignment horizontal="center" vertical="center"/>
    </xf>
    <xf numFmtId="3" fontId="7" fillId="0" borderId="35" xfId="0" applyNumberFormat="1" applyFont="1" applyBorder="1" applyAlignment="1">
      <alignment horizontal="center" vertical="center"/>
    </xf>
    <xf numFmtId="3" fontId="7" fillId="0" borderId="54" xfId="0" applyNumberFormat="1" applyFont="1" applyFill="1" applyBorder="1" applyAlignment="1">
      <alignment horizontal="center" vertical="center"/>
    </xf>
    <xf numFmtId="3" fontId="3" fillId="0" borderId="50" xfId="0" applyNumberFormat="1" applyFont="1" applyBorder="1" applyAlignment="1">
      <alignment horizontal="center" vertical="center"/>
    </xf>
    <xf numFmtId="3" fontId="3" fillId="0" borderId="63" xfId="0" applyNumberFormat="1" applyFont="1" applyBorder="1" applyAlignment="1">
      <alignment horizontal="center" vertical="center"/>
    </xf>
    <xf numFmtId="3" fontId="3" fillId="0" borderId="34" xfId="0" applyNumberFormat="1" applyFont="1" applyBorder="1" applyAlignment="1">
      <alignment horizontal="center" vertical="center"/>
    </xf>
    <xf numFmtId="3" fontId="3" fillId="0" borderId="62" xfId="0" applyNumberFormat="1" applyFont="1" applyBorder="1" applyAlignment="1">
      <alignment horizontal="center" vertical="center"/>
    </xf>
    <xf numFmtId="0" fontId="7" fillId="0" borderId="65" xfId="0" applyFont="1" applyBorder="1" applyAlignment="1">
      <alignment horizontal="center" vertical="center"/>
    </xf>
    <xf numFmtId="0" fontId="7" fillId="0" borderId="66" xfId="0" applyFont="1" applyBorder="1" applyAlignment="1">
      <alignment horizontal="center" vertical="center"/>
    </xf>
    <xf numFmtId="0" fontId="7" fillId="0" borderId="148" xfId="0" applyFont="1" applyBorder="1" applyAlignment="1">
      <alignment horizontal="center" vertical="center"/>
    </xf>
    <xf numFmtId="0" fontId="7" fillId="0" borderId="14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44" xfId="0" applyFont="1" applyBorder="1" applyAlignment="1">
      <alignment horizontal="center" vertical="center"/>
    </xf>
    <xf numFmtId="3" fontId="7" fillId="0" borderId="241" xfId="0" applyNumberFormat="1" applyFont="1" applyBorder="1" applyAlignment="1">
      <alignment horizontal="left" vertical="center"/>
    </xf>
    <xf numFmtId="3" fontId="7" fillId="0" borderId="242" xfId="0" applyNumberFormat="1" applyFont="1" applyBorder="1" applyAlignment="1">
      <alignment horizontal="left" vertical="center"/>
    </xf>
    <xf numFmtId="3" fontId="7" fillId="0" borderId="33" xfId="0" applyNumberFormat="1" applyFont="1" applyBorder="1" applyAlignment="1">
      <alignment horizontal="left" vertical="center"/>
    </xf>
    <xf numFmtId="3" fontId="7" fillId="0" borderId="132" xfId="0" applyNumberFormat="1" applyFont="1" applyBorder="1" applyAlignment="1">
      <alignment horizontal="left" vertical="center"/>
    </xf>
    <xf numFmtId="38" fontId="6" fillId="0" borderId="13" xfId="1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horizontal="center" vertical="center"/>
    </xf>
    <xf numFmtId="38" fontId="6" fillId="0" borderId="61" xfId="1" applyFont="1" applyBorder="1" applyAlignment="1">
      <alignment horizontal="center" vertical="center"/>
    </xf>
    <xf numFmtId="38" fontId="6" fillId="0" borderId="14" xfId="1" applyFont="1" applyBorder="1" applyAlignment="1">
      <alignment horizontal="center" vertical="center"/>
    </xf>
    <xf numFmtId="38" fontId="6" fillId="0" borderId="12" xfId="1" applyFont="1" applyBorder="1" applyAlignment="1">
      <alignment horizontal="center" vertical="center"/>
    </xf>
    <xf numFmtId="38" fontId="7" fillId="0" borderId="61" xfId="1" applyFont="1" applyBorder="1" applyAlignment="1">
      <alignment horizontal="center" vertical="center"/>
    </xf>
    <xf numFmtId="38" fontId="7" fillId="0" borderId="14" xfId="1" applyFont="1" applyBorder="1" applyAlignment="1">
      <alignment horizontal="center" vertical="center"/>
    </xf>
    <xf numFmtId="38" fontId="7" fillId="0" borderId="12" xfId="1" applyFont="1" applyBorder="1" applyAlignment="1">
      <alignment horizontal="center" vertical="center"/>
    </xf>
    <xf numFmtId="0" fontId="7" fillId="0" borderId="15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38" xfId="0" applyFont="1" applyBorder="1" applyAlignment="1">
      <alignment horizontal="center" vertical="center"/>
    </xf>
    <xf numFmtId="3" fontId="3" fillId="0" borderId="102" xfId="0" applyNumberFormat="1" applyFont="1" applyBorder="1" applyAlignment="1">
      <alignment horizontal="center" vertical="center"/>
    </xf>
    <xf numFmtId="3" fontId="3" fillId="0" borderId="104" xfId="0" applyNumberFormat="1" applyFont="1" applyBorder="1" applyAlignment="1">
      <alignment horizontal="center" vertical="center"/>
    </xf>
    <xf numFmtId="38" fontId="6" fillId="0" borderId="61" xfId="1" applyFont="1" applyBorder="1" applyAlignment="1">
      <alignment horizontal="right" vertical="center"/>
    </xf>
    <xf numFmtId="38" fontId="6" fillId="0" borderId="14" xfId="1" applyFont="1" applyBorder="1" applyAlignment="1">
      <alignment horizontal="right" vertical="center"/>
    </xf>
    <xf numFmtId="38" fontId="6" fillId="0" borderId="12" xfId="1" applyFont="1" applyBorder="1" applyAlignment="1">
      <alignment horizontal="right" vertical="center"/>
    </xf>
    <xf numFmtId="38" fontId="17" fillId="4" borderId="218" xfId="1" applyNumberFormat="1" applyFont="1" applyFill="1" applyBorder="1" applyAlignment="1">
      <alignment horizontal="right" vertical="center" shrinkToFit="1"/>
    </xf>
    <xf numFmtId="38" fontId="17" fillId="4" borderId="206" xfId="1" applyNumberFormat="1" applyFont="1" applyFill="1" applyBorder="1" applyAlignment="1">
      <alignment horizontal="right" vertical="center" shrinkToFit="1"/>
    </xf>
    <xf numFmtId="38" fontId="17" fillId="4" borderId="219" xfId="1" applyNumberFormat="1" applyFont="1" applyFill="1" applyBorder="1" applyAlignment="1">
      <alignment horizontal="right" vertical="center" shrinkToFit="1"/>
    </xf>
    <xf numFmtId="179" fontId="19" fillId="4" borderId="220" xfId="1" applyNumberFormat="1" applyFont="1" applyFill="1" applyBorder="1" applyAlignment="1">
      <alignment horizontal="right" vertical="center" shrinkToFit="1"/>
    </xf>
    <xf numFmtId="179" fontId="19" fillId="4" borderId="221" xfId="1" applyNumberFormat="1" applyFont="1" applyFill="1" applyBorder="1" applyAlignment="1">
      <alignment horizontal="right" vertical="center" shrinkToFit="1"/>
    </xf>
    <xf numFmtId="179" fontId="19" fillId="4" borderId="222" xfId="1" applyNumberFormat="1" applyFont="1" applyFill="1" applyBorder="1" applyAlignment="1">
      <alignment horizontal="right" vertical="center" shrinkToFit="1"/>
    </xf>
    <xf numFmtId="179" fontId="17" fillId="10" borderId="233" xfId="1" applyNumberFormat="1" applyFont="1" applyFill="1" applyBorder="1" applyAlignment="1">
      <alignment horizontal="right" vertical="center" shrinkToFit="1"/>
    </xf>
    <xf numFmtId="179" fontId="17" fillId="10" borderId="234" xfId="1" applyNumberFormat="1" applyFont="1" applyFill="1" applyBorder="1" applyAlignment="1">
      <alignment horizontal="right" vertical="center" shrinkToFit="1"/>
    </xf>
    <xf numFmtId="179" fontId="17" fillId="10" borderId="235" xfId="1" applyNumberFormat="1" applyFont="1" applyFill="1" applyBorder="1" applyAlignment="1">
      <alignment horizontal="right" vertical="center" shrinkToFit="1"/>
    </xf>
    <xf numFmtId="0" fontId="17" fillId="10" borderId="238" xfId="0" applyFont="1" applyFill="1" applyBorder="1" applyAlignment="1">
      <alignment horizontal="right" vertical="center" wrapText="1"/>
    </xf>
    <xf numFmtId="0" fontId="17" fillId="10" borderId="234" xfId="0" applyFont="1" applyFill="1" applyBorder="1" applyAlignment="1">
      <alignment horizontal="right" vertical="center" wrapText="1"/>
    </xf>
    <xf numFmtId="0" fontId="17" fillId="10" borderId="0" xfId="0" applyFont="1" applyFill="1" applyBorder="1" applyAlignment="1">
      <alignment horizontal="right" vertical="center" wrapText="1"/>
    </xf>
    <xf numFmtId="0" fontId="17" fillId="10" borderId="239" xfId="0" applyFont="1" applyFill="1" applyBorder="1" applyAlignment="1">
      <alignment horizontal="right" vertical="center" wrapText="1"/>
    </xf>
    <xf numFmtId="179" fontId="19" fillId="4" borderId="218" xfId="1" applyNumberFormat="1" applyFont="1" applyFill="1" applyBorder="1" applyAlignment="1">
      <alignment horizontal="right" vertical="center" shrinkToFit="1"/>
    </xf>
    <xf numFmtId="179" fontId="19" fillId="4" borderId="206" xfId="1" applyNumberFormat="1" applyFont="1" applyFill="1" applyBorder="1" applyAlignment="1">
      <alignment horizontal="right" vertical="center" shrinkToFit="1"/>
    </xf>
    <xf numFmtId="179" fontId="19" fillId="4" borderId="219" xfId="1" applyNumberFormat="1" applyFont="1" applyFill="1" applyBorder="1" applyAlignment="1">
      <alignment horizontal="right" vertical="center" shrinkToFit="1"/>
    </xf>
    <xf numFmtId="179" fontId="5" fillId="4" borderId="229" xfId="1" applyNumberFormat="1" applyFont="1" applyFill="1" applyBorder="1" applyAlignment="1">
      <alignment horizontal="right" vertical="center" shrinkToFit="1"/>
    </xf>
    <xf numFmtId="179" fontId="17" fillId="4" borderId="10" xfId="1" applyNumberFormat="1" applyFont="1" applyFill="1" applyBorder="1" applyAlignment="1">
      <alignment horizontal="right" vertical="center" shrinkToFit="1"/>
    </xf>
    <xf numFmtId="179" fontId="17" fillId="4" borderId="230" xfId="1" applyNumberFormat="1" applyFont="1" applyFill="1" applyBorder="1" applyAlignment="1">
      <alignment horizontal="right" vertical="center" shrinkToFit="1"/>
    </xf>
    <xf numFmtId="179" fontId="17" fillId="4" borderId="229" xfId="1" applyNumberFormat="1" applyFont="1" applyFill="1" applyBorder="1" applyAlignment="1">
      <alignment horizontal="right" vertical="center" shrinkToFit="1"/>
    </xf>
    <xf numFmtId="179" fontId="17" fillId="4" borderId="220" xfId="1" applyNumberFormat="1" applyFont="1" applyFill="1" applyBorder="1" applyAlignment="1">
      <alignment horizontal="right" vertical="center" shrinkToFit="1"/>
    </xf>
    <xf numFmtId="179" fontId="17" fillId="4" borderId="221" xfId="1" applyNumberFormat="1" applyFont="1" applyFill="1" applyBorder="1" applyAlignment="1">
      <alignment horizontal="right" vertical="center" shrinkToFit="1"/>
    </xf>
    <xf numFmtId="179" fontId="17" fillId="4" borderId="222" xfId="1" applyNumberFormat="1" applyFont="1" applyFill="1" applyBorder="1" applyAlignment="1">
      <alignment horizontal="right" vertical="center" shrinkToFit="1"/>
    </xf>
    <xf numFmtId="179" fontId="17" fillId="4" borderId="227" xfId="1" applyNumberFormat="1" applyFont="1" applyFill="1" applyBorder="1" applyAlignment="1">
      <alignment horizontal="right" vertical="center" shrinkToFit="1"/>
    </xf>
    <xf numFmtId="179" fontId="17" fillId="4" borderId="165" xfId="1" applyNumberFormat="1" applyFont="1" applyFill="1" applyBorder="1" applyAlignment="1">
      <alignment horizontal="right" vertical="center" shrinkToFit="1"/>
    </xf>
    <xf numFmtId="179" fontId="17" fillId="4" borderId="228" xfId="1" applyNumberFormat="1" applyFont="1" applyFill="1" applyBorder="1" applyAlignment="1">
      <alignment horizontal="right" vertical="center" shrinkToFit="1"/>
    </xf>
    <xf numFmtId="179" fontId="17" fillId="4" borderId="218" xfId="1" applyNumberFormat="1" applyFont="1" applyFill="1" applyBorder="1" applyAlignment="1">
      <alignment horizontal="right" vertical="center" shrinkToFit="1"/>
    </xf>
    <xf numFmtId="179" fontId="17" fillId="4" borderId="206" xfId="1" applyNumberFormat="1" applyFont="1" applyFill="1" applyBorder="1" applyAlignment="1">
      <alignment horizontal="right" vertical="center" shrinkToFit="1"/>
    </xf>
    <xf numFmtId="179" fontId="17" fillId="4" borderId="219" xfId="1" applyNumberFormat="1" applyFont="1" applyFill="1" applyBorder="1" applyAlignment="1">
      <alignment horizontal="right" vertical="center" shrinkToFit="1"/>
    </xf>
    <xf numFmtId="0" fontId="18" fillId="11" borderId="29" xfId="0" applyFont="1" applyFill="1" applyBorder="1" applyAlignment="1">
      <alignment horizontal="center" vertical="center" shrinkToFit="1"/>
    </xf>
    <xf numFmtId="0" fontId="3" fillId="11" borderId="29" xfId="0" applyFont="1" applyFill="1" applyBorder="1" applyAlignment="1">
      <alignment horizontal="center" vertical="center" shrinkToFit="1"/>
    </xf>
    <xf numFmtId="179" fontId="19" fillId="10" borderId="218" xfId="1" applyNumberFormat="1" applyFont="1" applyFill="1" applyBorder="1" applyAlignment="1">
      <alignment horizontal="right" vertical="center" shrinkToFit="1"/>
    </xf>
    <xf numFmtId="179" fontId="19" fillId="10" borderId="206" xfId="1" applyNumberFormat="1" applyFont="1" applyFill="1" applyBorder="1" applyAlignment="1">
      <alignment horizontal="right" vertical="center" shrinkToFit="1"/>
    </xf>
    <xf numFmtId="179" fontId="19" fillId="10" borderId="219" xfId="1" applyNumberFormat="1" applyFont="1" applyFill="1" applyBorder="1" applyAlignment="1">
      <alignment horizontal="right" vertical="center" shrinkToFit="1"/>
    </xf>
    <xf numFmtId="0" fontId="5" fillId="0" borderId="234" xfId="0" applyFont="1" applyBorder="1" applyAlignment="1">
      <alignment vertical="center" shrinkToFit="1"/>
    </xf>
    <xf numFmtId="0" fontId="5" fillId="0" borderId="235" xfId="0" applyFont="1" applyBorder="1" applyAlignment="1">
      <alignment vertical="center" shrinkToFit="1"/>
    </xf>
    <xf numFmtId="0" fontId="19" fillId="10" borderId="217" xfId="0" applyFont="1" applyFill="1" applyBorder="1" applyAlignment="1">
      <alignment vertical="center" shrinkToFit="1"/>
    </xf>
    <xf numFmtId="0" fontId="19" fillId="10" borderId="216" xfId="0" applyFont="1" applyFill="1" applyBorder="1" applyAlignment="1">
      <alignment vertical="center" shrinkToFit="1"/>
    </xf>
    <xf numFmtId="0" fontId="7" fillId="0" borderId="216" xfId="0" applyFont="1" applyBorder="1" applyAlignment="1">
      <alignment vertical="center" shrinkToFit="1"/>
    </xf>
    <xf numFmtId="0" fontId="5" fillId="0" borderId="0" xfId="0" applyFont="1" applyAlignment="1">
      <alignment vertical="center" shrinkToFit="1"/>
    </xf>
    <xf numFmtId="0" fontId="5" fillId="0" borderId="224" xfId="0" applyFont="1" applyBorder="1" applyAlignment="1">
      <alignment vertical="center" shrinkToFit="1"/>
    </xf>
    <xf numFmtId="0" fontId="17" fillId="10" borderId="205" xfId="0" applyFont="1" applyFill="1" applyBorder="1" applyAlignment="1">
      <alignment vertical="center" shrinkToFit="1"/>
    </xf>
    <xf numFmtId="0" fontId="17" fillId="10" borderId="206" xfId="0" applyFont="1" applyFill="1" applyBorder="1" applyAlignment="1">
      <alignment vertical="center" shrinkToFit="1"/>
    </xf>
    <xf numFmtId="0" fontId="5" fillId="0" borderId="206" xfId="0" applyFont="1" applyBorder="1" applyAlignment="1">
      <alignment vertical="center" shrinkToFit="1"/>
    </xf>
    <xf numFmtId="0" fontId="17" fillId="10" borderId="225" xfId="0" applyFont="1" applyFill="1" applyBorder="1" applyAlignment="1">
      <alignment vertical="center" shrinkToFit="1"/>
    </xf>
    <xf numFmtId="0" fontId="17" fillId="10" borderId="208" xfId="0" applyFont="1" applyFill="1" applyBorder="1" applyAlignment="1">
      <alignment vertical="center" shrinkToFit="1"/>
    </xf>
    <xf numFmtId="0" fontId="5" fillId="0" borderId="208" xfId="0" applyFont="1" applyBorder="1" applyAlignment="1">
      <alignment vertical="center" shrinkToFit="1"/>
    </xf>
    <xf numFmtId="0" fontId="17" fillId="10" borderId="207" xfId="0" applyFont="1" applyFill="1" applyBorder="1" applyAlignment="1">
      <alignment vertical="center" shrinkToFit="1"/>
    </xf>
    <xf numFmtId="0" fontId="17" fillId="10" borderId="232" xfId="0" applyFont="1" applyFill="1" applyBorder="1" applyAlignment="1">
      <alignment vertical="center" shrinkToFit="1"/>
    </xf>
    <xf numFmtId="0" fontId="17" fillId="10" borderId="0" xfId="0" applyFont="1" applyFill="1" applyAlignment="1">
      <alignment vertical="center" shrinkToFit="1"/>
    </xf>
    <xf numFmtId="0" fontId="17" fillId="10" borderId="217" xfId="0" applyFont="1" applyFill="1" applyBorder="1" applyAlignment="1">
      <alignment vertical="center" shrinkToFit="1"/>
    </xf>
    <xf numFmtId="0" fontId="17" fillId="10" borderId="216" xfId="0" applyFont="1" applyFill="1" applyBorder="1" applyAlignment="1">
      <alignment vertical="center" shrinkToFit="1"/>
    </xf>
    <xf numFmtId="0" fontId="5" fillId="0" borderId="216" xfId="0" applyFont="1" applyBorder="1" applyAlignment="1">
      <alignment vertical="center" shrinkToFit="1"/>
    </xf>
    <xf numFmtId="0" fontId="5" fillId="0" borderId="206" xfId="0" applyFont="1" applyBorder="1">
      <alignment vertical="center"/>
    </xf>
    <xf numFmtId="0" fontId="17" fillId="10" borderId="218" xfId="0" applyFont="1" applyFill="1" applyBorder="1" applyAlignment="1">
      <alignment vertical="center" wrapText="1"/>
    </xf>
    <xf numFmtId="0" fontId="17" fillId="10" borderId="206" xfId="0" applyFont="1" applyFill="1" applyBorder="1" applyAlignment="1">
      <alignment vertical="center" wrapText="1"/>
    </xf>
    <xf numFmtId="0" fontId="5" fillId="0" borderId="206" xfId="0" applyFont="1" applyBorder="1" applyAlignment="1">
      <alignment vertical="center" wrapText="1"/>
    </xf>
    <xf numFmtId="0" fontId="5" fillId="0" borderId="208" xfId="0" applyFont="1" applyBorder="1">
      <alignment vertical="center"/>
    </xf>
    <xf numFmtId="0" fontId="3" fillId="10" borderId="236" xfId="0" applyFont="1" applyFill="1" applyBorder="1" applyAlignment="1">
      <alignment vertical="center" wrapText="1"/>
    </xf>
    <xf numFmtId="0" fontId="3" fillId="10" borderId="214" xfId="0" applyFont="1" applyFill="1" applyBorder="1" applyAlignment="1">
      <alignment vertical="center" wrapText="1"/>
    </xf>
    <xf numFmtId="0" fontId="3" fillId="10" borderId="206" xfId="0" applyFont="1" applyFill="1" applyBorder="1" applyAlignment="1">
      <alignment vertical="center" wrapText="1"/>
    </xf>
    <xf numFmtId="0" fontId="18" fillId="11" borderId="210" xfId="0" applyFont="1" applyFill="1" applyBorder="1" applyAlignment="1">
      <alignment horizontal="center" vertical="center" wrapText="1" shrinkToFit="1"/>
    </xf>
    <xf numFmtId="0" fontId="3" fillId="11" borderId="211" xfId="0" applyFont="1" applyFill="1" applyBorder="1" applyAlignment="1">
      <alignment horizontal="center" vertical="center" shrinkToFit="1"/>
    </xf>
    <xf numFmtId="0" fontId="17" fillId="10" borderId="213" xfId="0" applyFont="1" applyFill="1" applyBorder="1" applyAlignment="1">
      <alignment vertical="center" wrapText="1"/>
    </xf>
    <xf numFmtId="0" fontId="17" fillId="10" borderId="214" xfId="0" applyFont="1" applyFill="1" applyBorder="1" applyAlignment="1">
      <alignment vertical="center" wrapText="1"/>
    </xf>
    <xf numFmtId="0" fontId="5" fillId="0" borderId="214" xfId="0" applyFont="1" applyBorder="1" applyAlignment="1">
      <alignment vertical="center" wrapText="1"/>
    </xf>
    <xf numFmtId="179" fontId="19" fillId="10" borderId="213" xfId="1" applyNumberFormat="1" applyFont="1" applyFill="1" applyBorder="1" applyAlignment="1">
      <alignment horizontal="right" vertical="center" shrinkToFit="1"/>
    </xf>
    <xf numFmtId="179" fontId="19" fillId="10" borderId="214" xfId="1" applyNumberFormat="1" applyFont="1" applyFill="1" applyBorder="1" applyAlignment="1">
      <alignment horizontal="right" vertical="center" shrinkToFit="1"/>
    </xf>
    <xf numFmtId="179" fontId="19" fillId="10" borderId="237" xfId="1" applyNumberFormat="1" applyFont="1" applyFill="1" applyBorder="1" applyAlignment="1">
      <alignment horizontal="right" vertical="center" shrinkToFit="1"/>
    </xf>
    <xf numFmtId="0" fontId="18" fillId="11" borderId="210" xfId="0" applyFont="1" applyFill="1" applyBorder="1" applyAlignment="1">
      <alignment horizontal="center" vertical="center"/>
    </xf>
    <xf numFmtId="0" fontId="18" fillId="11" borderId="211" xfId="0" applyFont="1" applyFill="1" applyBorder="1" applyAlignment="1">
      <alignment horizontal="center" vertical="center"/>
    </xf>
    <xf numFmtId="0" fontId="3" fillId="11" borderId="211" xfId="0" applyFont="1" applyFill="1" applyBorder="1" applyAlignment="1">
      <alignment horizontal="center" vertical="center"/>
    </xf>
    <xf numFmtId="0" fontId="18" fillId="11" borderId="210" xfId="0" applyFont="1" applyFill="1" applyBorder="1" applyAlignment="1">
      <alignment horizontal="center" vertical="center" shrinkToFit="1"/>
    </xf>
    <xf numFmtId="0" fontId="19" fillId="10" borderId="207" xfId="0" applyFont="1" applyFill="1" applyBorder="1" applyAlignment="1">
      <alignment vertical="center" shrinkToFit="1"/>
    </xf>
    <xf numFmtId="0" fontId="7" fillId="0" borderId="208" xfId="0" applyFont="1" applyBorder="1" applyAlignment="1">
      <alignment vertical="center" shrinkToFit="1"/>
    </xf>
    <xf numFmtId="0" fontId="7" fillId="0" borderId="226" xfId="0" applyFont="1" applyBorder="1" applyAlignment="1">
      <alignment vertical="center" shrinkToFit="1"/>
    </xf>
    <xf numFmtId="0" fontId="17" fillId="10" borderId="223" xfId="0" applyFont="1" applyFill="1" applyBorder="1" applyAlignment="1">
      <alignment vertical="center" shrinkToFit="1"/>
    </xf>
    <xf numFmtId="38" fontId="7" fillId="4" borderId="245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FF"/>
      <color rgb="FFFFCCCC"/>
      <color rgb="FFCCFFCC"/>
      <color rgb="FFCCFFFF"/>
      <color rgb="FFFFFFCC"/>
      <color rgb="FF66FF66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27D6D-3560-41E8-9156-CBFB2CAB057E}">
  <dimension ref="A1:BK145"/>
  <sheetViews>
    <sheetView tabSelected="1" zoomScale="90" zoomScaleNormal="90" workbookViewId="0">
      <pane xSplit="51" ySplit="4" topLeftCell="BA5" activePane="bottomRight" state="frozen"/>
      <selection pane="topRight" activeCell="AZ1" sqref="AZ1"/>
      <selection pane="bottomLeft" activeCell="A4" sqref="A4"/>
      <selection pane="bottomRight" activeCell="B3" sqref="B3"/>
    </sheetView>
  </sheetViews>
  <sheetFormatPr defaultColWidth="9" defaultRowHeight="13.5" x14ac:dyDescent="0.15"/>
  <cols>
    <col min="1" max="1" width="3.5" style="3" customWidth="1"/>
    <col min="2" max="3" width="2.625" style="3" customWidth="1"/>
    <col min="4" max="4" width="23.625" style="3" customWidth="1"/>
    <col min="5" max="22" width="12.625" style="3" hidden="1" customWidth="1"/>
    <col min="23" max="23" width="14.375" style="3" hidden="1" customWidth="1"/>
    <col min="24" max="25" width="12" style="3" hidden="1" customWidth="1"/>
    <col min="26" max="28" width="12.75" style="3" hidden="1" customWidth="1"/>
    <col min="29" max="30" width="12" style="3" hidden="1" customWidth="1"/>
    <col min="31" max="31" width="11.5" style="4" hidden="1" customWidth="1"/>
    <col min="32" max="32" width="6.5" style="4" hidden="1" customWidth="1"/>
    <col min="33" max="35" width="18.75" style="4" hidden="1" customWidth="1"/>
    <col min="36" max="36" width="12.875" style="4" hidden="1" customWidth="1"/>
    <col min="37" max="37" width="12.375" style="4" hidden="1" customWidth="1"/>
    <col min="38" max="42" width="11.625" style="4" hidden="1" customWidth="1"/>
    <col min="43" max="45" width="12.5" style="4" hidden="1" customWidth="1"/>
    <col min="46" max="47" width="11.625" style="4" hidden="1" customWidth="1"/>
    <col min="48" max="48" width="8.25" style="4" hidden="1" customWidth="1"/>
    <col min="49" max="51" width="11.625" style="4" hidden="1" customWidth="1"/>
    <col min="52" max="52" width="12.875" style="4" hidden="1" customWidth="1"/>
    <col min="53" max="54" width="12.75" style="4" customWidth="1"/>
    <col min="55" max="55" width="13.875" style="4" customWidth="1"/>
    <col min="56" max="56" width="31" style="4" customWidth="1"/>
    <col min="57" max="57" width="13.5" style="4" customWidth="1"/>
    <col min="58" max="58" width="32.375" style="4" customWidth="1"/>
    <col min="59" max="59" width="5" style="3" customWidth="1"/>
    <col min="60" max="60" width="10.5" style="3" customWidth="1"/>
    <col min="61" max="16384" width="9" style="3"/>
  </cols>
  <sheetData>
    <row r="1" spans="1:58" ht="34.9" customHeight="1" x14ac:dyDescent="0.15">
      <c r="B1" s="1247" t="s">
        <v>231</v>
      </c>
      <c r="C1" s="1247"/>
      <c r="D1" s="1247"/>
      <c r="E1" s="1247"/>
      <c r="F1" s="1247"/>
      <c r="G1" s="1247"/>
      <c r="H1" s="1247"/>
      <c r="I1" s="1247"/>
      <c r="J1" s="1247"/>
      <c r="K1" s="1247"/>
      <c r="L1" s="1247"/>
      <c r="M1" s="1247"/>
      <c r="N1" s="1247"/>
      <c r="O1" s="1247"/>
      <c r="P1" s="1247"/>
      <c r="Q1" s="1247"/>
      <c r="R1" s="1247"/>
      <c r="S1" s="1247"/>
      <c r="T1" s="1247"/>
      <c r="U1" s="1247"/>
      <c r="V1" s="1247"/>
      <c r="W1" s="1247"/>
      <c r="X1" s="1247"/>
      <c r="Y1" s="1247"/>
      <c r="Z1" s="1247"/>
      <c r="AA1" s="1247"/>
      <c r="AB1" s="1247"/>
      <c r="AC1" s="1247"/>
      <c r="AD1" s="1247"/>
      <c r="AE1" s="1247"/>
      <c r="AF1" s="1247"/>
      <c r="AG1" s="1247"/>
      <c r="AH1" s="1247"/>
      <c r="AI1" s="1247"/>
      <c r="AJ1" s="1247"/>
      <c r="AK1" s="1247"/>
      <c r="AL1" s="1247"/>
      <c r="AM1" s="1247"/>
      <c r="AN1" s="1247"/>
      <c r="AO1" s="1247"/>
      <c r="AP1" s="1247"/>
      <c r="AQ1" s="1247"/>
      <c r="AR1" s="1247"/>
      <c r="AS1" s="1247"/>
      <c r="AT1" s="1247"/>
      <c r="AU1" s="1247"/>
      <c r="AV1" s="1247"/>
      <c r="AW1" s="1247"/>
      <c r="AX1" s="1247"/>
      <c r="AY1" s="1247"/>
      <c r="AZ1" s="1247"/>
      <c r="BA1" s="1247"/>
      <c r="BB1" s="1247"/>
      <c r="BC1" s="1247"/>
      <c r="BD1" s="1247"/>
      <c r="BE1" s="1247"/>
      <c r="BF1" s="1247"/>
    </row>
    <row r="2" spans="1:58" ht="13.5" customHeight="1" x14ac:dyDescent="0.15">
      <c r="B2" s="1266" t="s">
        <v>308</v>
      </c>
      <c r="C2" s="1266"/>
      <c r="D2" s="1266"/>
      <c r="E2" s="1266"/>
      <c r="F2" s="1266"/>
      <c r="G2" s="1266"/>
      <c r="H2" s="1266"/>
      <c r="I2" s="1266"/>
      <c r="J2" s="1266"/>
      <c r="K2" s="1266"/>
      <c r="L2" s="1266"/>
      <c r="M2" s="1266"/>
      <c r="N2" s="1266"/>
      <c r="O2" s="1266"/>
      <c r="P2" s="1266"/>
      <c r="Q2" s="1266"/>
      <c r="R2" s="1266"/>
      <c r="S2" s="1266"/>
      <c r="T2" s="1266"/>
      <c r="U2" s="1266"/>
      <c r="V2" s="1266"/>
      <c r="W2" s="1266"/>
      <c r="X2" s="1266"/>
      <c r="Y2" s="1266"/>
      <c r="Z2" s="1266"/>
      <c r="AA2" s="1266"/>
      <c r="AB2" s="1266"/>
      <c r="AC2" s="1266"/>
      <c r="AD2" s="1266"/>
      <c r="AE2" s="1266"/>
      <c r="AF2" s="1266"/>
      <c r="AG2" s="1266"/>
      <c r="AH2" s="1266"/>
      <c r="AI2" s="1266"/>
      <c r="AJ2" s="1266"/>
      <c r="AK2" s="1266"/>
      <c r="AL2" s="1266"/>
      <c r="AM2" s="1266"/>
      <c r="AN2" s="1266"/>
      <c r="AO2" s="1266"/>
      <c r="AP2" s="1266"/>
      <c r="AQ2" s="1266"/>
      <c r="AR2" s="1266"/>
      <c r="AS2" s="1266"/>
      <c r="AT2" s="1266"/>
      <c r="AU2" s="1266"/>
      <c r="AV2" s="1266"/>
      <c r="AW2" s="1266"/>
      <c r="AX2" s="1266"/>
      <c r="AY2" s="1266"/>
      <c r="AZ2" s="1266"/>
      <c r="BA2" s="1266"/>
      <c r="BB2" s="1266"/>
      <c r="BC2" s="1266"/>
      <c r="BD2" s="1266"/>
      <c r="BE2" s="1266"/>
      <c r="BF2" s="1266"/>
    </row>
    <row r="3" spans="1:58" ht="15" customHeight="1" thickBot="1" x14ac:dyDescent="0.2">
      <c r="D3" s="103"/>
      <c r="W3" s="169"/>
      <c r="X3" s="169" t="s">
        <v>110</v>
      </c>
      <c r="Y3" s="169" t="s">
        <v>110</v>
      </c>
      <c r="Z3" s="169" t="s">
        <v>120</v>
      </c>
      <c r="AA3" s="169" t="s">
        <v>120</v>
      </c>
      <c r="AB3" s="169" t="s">
        <v>120</v>
      </c>
      <c r="AC3" s="169" t="s">
        <v>120</v>
      </c>
      <c r="AD3" s="169" t="s">
        <v>120</v>
      </c>
      <c r="AE3" s="560"/>
      <c r="AF3" s="560"/>
      <c r="AG3" s="560" t="s">
        <v>111</v>
      </c>
      <c r="AH3" s="560" t="s">
        <v>110</v>
      </c>
      <c r="AI3" s="560" t="s">
        <v>110</v>
      </c>
      <c r="AJ3" s="560" t="s">
        <v>110</v>
      </c>
      <c r="AK3" s="560" t="s">
        <v>109</v>
      </c>
      <c r="AL3" s="560" t="s">
        <v>109</v>
      </c>
      <c r="AM3" s="560" t="s">
        <v>211</v>
      </c>
      <c r="AN3" s="560" t="s">
        <v>211</v>
      </c>
      <c r="AO3" s="560"/>
      <c r="AP3" s="560" t="s">
        <v>110</v>
      </c>
      <c r="AQ3" s="560" t="s">
        <v>117</v>
      </c>
      <c r="AR3" s="560" t="s">
        <v>110</v>
      </c>
      <c r="AS3" s="560" t="s">
        <v>110</v>
      </c>
      <c r="AT3" s="560" t="s">
        <v>109</v>
      </c>
      <c r="AU3" s="560" t="s">
        <v>109</v>
      </c>
      <c r="AV3" s="560" t="s">
        <v>112</v>
      </c>
      <c r="AW3" s="560" t="s">
        <v>144</v>
      </c>
      <c r="AX3" s="560" t="s">
        <v>112</v>
      </c>
      <c r="AY3" s="561" t="s">
        <v>111</v>
      </c>
      <c r="AZ3" s="560" t="s">
        <v>283</v>
      </c>
      <c r="BA3" s="681" t="s">
        <v>282</v>
      </c>
      <c r="BB3" s="681" t="s">
        <v>284</v>
      </c>
      <c r="BC3" s="681" t="s">
        <v>285</v>
      </c>
      <c r="BD3" s="681" t="s">
        <v>286</v>
      </c>
      <c r="BE3" s="681" t="s">
        <v>287</v>
      </c>
      <c r="BF3" s="681" t="s">
        <v>288</v>
      </c>
    </row>
    <row r="4" spans="1:58" ht="34.15" customHeight="1" thickBot="1" x14ac:dyDescent="0.2">
      <c r="A4" s="637"/>
      <c r="B4" s="1248" t="s">
        <v>3</v>
      </c>
      <c r="C4" s="1249"/>
      <c r="D4" s="1250"/>
      <c r="E4" s="12" t="s">
        <v>71</v>
      </c>
      <c r="F4" s="13" t="s">
        <v>82</v>
      </c>
      <c r="G4" s="13" t="s">
        <v>70</v>
      </c>
      <c r="H4" s="13" t="s">
        <v>69</v>
      </c>
      <c r="I4" s="13" t="s">
        <v>67</v>
      </c>
      <c r="J4" s="13" t="s">
        <v>66</v>
      </c>
      <c r="K4" s="13" t="s">
        <v>65</v>
      </c>
      <c r="L4" s="13" t="s">
        <v>64</v>
      </c>
      <c r="M4" s="13" t="s">
        <v>62</v>
      </c>
      <c r="N4" s="62" t="s">
        <v>63</v>
      </c>
      <c r="O4" s="12" t="s">
        <v>60</v>
      </c>
      <c r="P4" s="13" t="s">
        <v>51</v>
      </c>
      <c r="Q4" s="13" t="s">
        <v>50</v>
      </c>
      <c r="R4" s="80" t="s">
        <v>47</v>
      </c>
      <c r="S4" s="71" t="s">
        <v>46</v>
      </c>
      <c r="T4" s="13" t="s">
        <v>45</v>
      </c>
      <c r="U4" s="13" t="s">
        <v>42</v>
      </c>
      <c r="V4" s="14" t="s">
        <v>40</v>
      </c>
      <c r="W4" s="39" t="s">
        <v>41</v>
      </c>
      <c r="X4" s="13" t="s">
        <v>104</v>
      </c>
      <c r="Y4" s="13" t="s">
        <v>114</v>
      </c>
      <c r="Z4" s="62" t="s">
        <v>121</v>
      </c>
      <c r="AA4" s="62" t="s">
        <v>126</v>
      </c>
      <c r="AB4" s="62" t="s">
        <v>129</v>
      </c>
      <c r="AC4" s="62" t="s">
        <v>147</v>
      </c>
      <c r="AD4" s="62" t="s">
        <v>157</v>
      </c>
      <c r="AE4" s="136" t="s">
        <v>44</v>
      </c>
      <c r="AF4" s="136"/>
      <c r="AG4" s="264" t="s">
        <v>107</v>
      </c>
      <c r="AH4" s="40" t="s">
        <v>132</v>
      </c>
      <c r="AI4" s="40" t="s">
        <v>132</v>
      </c>
      <c r="AJ4" s="282" t="s">
        <v>162</v>
      </c>
      <c r="AK4" s="283" t="s">
        <v>159</v>
      </c>
      <c r="AL4" s="199" t="s">
        <v>206</v>
      </c>
      <c r="AM4" s="199" t="s">
        <v>212</v>
      </c>
      <c r="AN4" s="199" t="s">
        <v>213</v>
      </c>
      <c r="AO4" s="199" t="s">
        <v>48</v>
      </c>
      <c r="AP4" s="200" t="s">
        <v>115</v>
      </c>
      <c r="AQ4" s="258" t="s">
        <v>122</v>
      </c>
      <c r="AR4" s="199" t="s">
        <v>127</v>
      </c>
      <c r="AS4" s="258" t="s">
        <v>130</v>
      </c>
      <c r="AT4" s="199" t="s">
        <v>148</v>
      </c>
      <c r="AU4" s="199" t="s">
        <v>158</v>
      </c>
      <c r="AV4" s="777" t="s">
        <v>271</v>
      </c>
      <c r="AW4" s="13" t="s">
        <v>105</v>
      </c>
      <c r="AX4" s="145" t="s">
        <v>106</v>
      </c>
      <c r="AY4" s="234" t="s">
        <v>116</v>
      </c>
      <c r="AZ4" s="692" t="s">
        <v>210</v>
      </c>
      <c r="BA4" s="682" t="s">
        <v>223</v>
      </c>
      <c r="BB4" s="682" t="s">
        <v>227</v>
      </c>
      <c r="BC4" s="693" t="s">
        <v>228</v>
      </c>
      <c r="BD4" s="776" t="s">
        <v>267</v>
      </c>
      <c r="BE4" s="694" t="s">
        <v>229</v>
      </c>
      <c r="BF4" s="627" t="s">
        <v>267</v>
      </c>
    </row>
    <row r="5" spans="1:58" ht="22.9" customHeight="1" thickBot="1" x14ac:dyDescent="0.2">
      <c r="A5" s="637">
        <v>1</v>
      </c>
      <c r="B5" s="1251" t="s">
        <v>163</v>
      </c>
      <c r="C5" s="1252"/>
      <c r="D5" s="1253"/>
      <c r="E5" s="15">
        <f t="shared" ref="E5:AE5" si="0">E6+E16+E20+E27</f>
        <v>9764000</v>
      </c>
      <c r="F5" s="16">
        <f t="shared" si="0"/>
        <v>0</v>
      </c>
      <c r="G5" s="16">
        <f t="shared" si="0"/>
        <v>9950897</v>
      </c>
      <c r="H5" s="16">
        <f t="shared" si="0"/>
        <v>10058369</v>
      </c>
      <c r="I5" s="16">
        <f t="shared" si="0"/>
        <v>0</v>
      </c>
      <c r="J5" s="16">
        <f t="shared" si="0"/>
        <v>10168766</v>
      </c>
      <c r="K5" s="16">
        <f t="shared" si="0"/>
        <v>10768905</v>
      </c>
      <c r="L5" s="16">
        <f t="shared" si="0"/>
        <v>9973036</v>
      </c>
      <c r="M5" s="16">
        <f t="shared" si="0"/>
        <v>14885294</v>
      </c>
      <c r="N5" s="63">
        <f t="shared" si="0"/>
        <v>10978497</v>
      </c>
      <c r="O5" s="15">
        <f t="shared" si="0"/>
        <v>10083161</v>
      </c>
      <c r="P5" s="16">
        <f t="shared" si="0"/>
        <v>10159982</v>
      </c>
      <c r="Q5" s="16">
        <f t="shared" si="0"/>
        <v>8365577</v>
      </c>
      <c r="R5" s="81">
        <f t="shared" si="0"/>
        <v>11081536</v>
      </c>
      <c r="S5" s="72">
        <f t="shared" si="0"/>
        <v>9592830</v>
      </c>
      <c r="T5" s="16">
        <f t="shared" si="0"/>
        <v>9948102</v>
      </c>
      <c r="U5" s="16">
        <f t="shared" si="0"/>
        <v>8375427</v>
      </c>
      <c r="V5" s="17">
        <f t="shared" si="0"/>
        <v>7911886</v>
      </c>
      <c r="W5" s="41">
        <f t="shared" si="0"/>
        <v>6770530</v>
      </c>
      <c r="X5" s="16">
        <f t="shared" si="0"/>
        <v>6069095</v>
      </c>
      <c r="Y5" s="16">
        <f t="shared" si="0"/>
        <v>6581321</v>
      </c>
      <c r="Z5" s="63">
        <f t="shared" si="0"/>
        <v>6889321</v>
      </c>
      <c r="AA5" s="63">
        <f t="shared" si="0"/>
        <v>6994321</v>
      </c>
      <c r="AB5" s="63">
        <f t="shared" si="0"/>
        <v>7089321</v>
      </c>
      <c r="AC5" s="63">
        <f t="shared" si="0"/>
        <v>7184321</v>
      </c>
      <c r="AD5" s="63">
        <f t="shared" si="0"/>
        <v>7309337</v>
      </c>
      <c r="AE5" s="121">
        <f t="shared" si="0"/>
        <v>7536595</v>
      </c>
      <c r="AF5" s="238">
        <f>Z5-Y5</f>
        <v>308000</v>
      </c>
      <c r="AG5" s="263"/>
      <c r="AH5" s="241"/>
      <c r="AI5" s="241"/>
      <c r="AJ5" s="224">
        <f>AJ6+AJ16+AJ20+AJ27</f>
        <v>7530000</v>
      </c>
      <c r="AK5" s="201">
        <v>7410000</v>
      </c>
      <c r="AL5" s="201">
        <f t="shared" ref="AL5:AU5" si="1">AL6+AL16+AL20+AL27</f>
        <v>4794000</v>
      </c>
      <c r="AM5" s="201">
        <f t="shared" si="1"/>
        <v>6029000</v>
      </c>
      <c r="AN5" s="201">
        <f t="shared" si="1"/>
        <v>6199000</v>
      </c>
      <c r="AO5" s="201">
        <f>AO6+AO16+AO20+AO27</f>
        <v>5869000</v>
      </c>
      <c r="AP5" s="202">
        <f t="shared" si="1"/>
        <v>6371006</v>
      </c>
      <c r="AQ5" s="121">
        <f t="shared" si="1"/>
        <v>6897006</v>
      </c>
      <c r="AR5" s="201">
        <f t="shared" si="1"/>
        <v>7087006</v>
      </c>
      <c r="AS5" s="121">
        <f t="shared" si="1"/>
        <v>7557006</v>
      </c>
      <c r="AT5" s="201">
        <f t="shared" si="1"/>
        <v>7722008</v>
      </c>
      <c r="AU5" s="201">
        <f t="shared" si="1"/>
        <v>7872040</v>
      </c>
      <c r="AV5" s="562">
        <f>AT5-AC5</f>
        <v>537687</v>
      </c>
      <c r="AW5" s="16">
        <f>AE5-AD5</f>
        <v>227258</v>
      </c>
      <c r="AX5" s="146">
        <f t="shared" ref="AX5:BE5" si="2">AX6+AX16+AX20+AX27</f>
        <v>120000</v>
      </c>
      <c r="AY5" s="224">
        <f t="shared" si="2"/>
        <v>7410000</v>
      </c>
      <c r="AZ5" s="202">
        <f t="shared" si="2"/>
        <v>8042020</v>
      </c>
      <c r="BA5" s="653">
        <f t="shared" si="2"/>
        <v>7051021</v>
      </c>
      <c r="BB5" s="619">
        <f t="shared" si="2"/>
        <v>7650000</v>
      </c>
      <c r="BC5" s="619">
        <f t="shared" si="2"/>
        <v>6988767</v>
      </c>
      <c r="BD5" s="619"/>
      <c r="BE5" s="619">
        <f t="shared" si="2"/>
        <v>6770000</v>
      </c>
      <c r="BF5" s="778"/>
    </row>
    <row r="6" spans="1:58" ht="16.899999999999999" customHeight="1" x14ac:dyDescent="0.15">
      <c r="A6" s="637">
        <f>A5+1</f>
        <v>2</v>
      </c>
      <c r="B6" s="5" t="s">
        <v>173</v>
      </c>
      <c r="C6" s="51"/>
      <c r="D6" s="128"/>
      <c r="E6" s="18">
        <f>SUM(E7:E14)</f>
        <v>6670000</v>
      </c>
      <c r="F6" s="19">
        <f>SUM(F7:F14)</f>
        <v>0</v>
      </c>
      <c r="G6" s="19">
        <f>SUM(G7:G14)+G15</f>
        <v>7503000</v>
      </c>
      <c r="H6" s="19">
        <f>SUM(H7:H14)+H15</f>
        <v>7015700</v>
      </c>
      <c r="I6" s="19">
        <f>SUM(I7:I14)+I15</f>
        <v>0</v>
      </c>
      <c r="J6" s="19">
        <f>SUM(J7:J14)+J15</f>
        <v>8021690</v>
      </c>
      <c r="K6" s="19">
        <f>SUM(K7:K14)+K15</f>
        <v>10224610</v>
      </c>
      <c r="L6" s="19">
        <f t="shared" ref="L6:W6" si="3">SUM(L7:L14)</f>
        <v>7884000</v>
      </c>
      <c r="M6" s="19">
        <f t="shared" si="3"/>
        <v>7804000</v>
      </c>
      <c r="N6" s="64">
        <f t="shared" si="3"/>
        <v>8017000</v>
      </c>
      <c r="O6" s="18">
        <f t="shared" si="3"/>
        <v>7879000</v>
      </c>
      <c r="P6" s="19">
        <f t="shared" si="3"/>
        <v>7928000</v>
      </c>
      <c r="Q6" s="19">
        <f t="shared" si="3"/>
        <v>7612000</v>
      </c>
      <c r="R6" s="82">
        <f t="shared" si="3"/>
        <v>7578000</v>
      </c>
      <c r="S6" s="73">
        <f t="shared" si="3"/>
        <v>7546000</v>
      </c>
      <c r="T6" s="19">
        <f t="shared" si="3"/>
        <v>7264000</v>
      </c>
      <c r="U6" s="19">
        <f t="shared" si="3"/>
        <v>6745000</v>
      </c>
      <c r="V6" s="20">
        <f t="shared" si="3"/>
        <v>6243000</v>
      </c>
      <c r="W6" s="42">
        <f t="shared" si="3"/>
        <v>6659000</v>
      </c>
      <c r="X6" s="563">
        <f>X8+X11+X14</f>
        <v>4756000</v>
      </c>
      <c r="Y6" s="563">
        <f t="shared" ref="Y6:AY6" si="4">Y8+Y11+Y14</f>
        <v>5296000</v>
      </c>
      <c r="Z6" s="564">
        <f t="shared" si="4"/>
        <v>5601000</v>
      </c>
      <c r="AA6" s="564">
        <f t="shared" si="4"/>
        <v>5706000</v>
      </c>
      <c r="AB6" s="564">
        <f t="shared" si="4"/>
        <v>5801000</v>
      </c>
      <c r="AC6" s="564">
        <f t="shared" si="4"/>
        <v>5896000</v>
      </c>
      <c r="AD6" s="564">
        <f t="shared" si="4"/>
        <v>6021000</v>
      </c>
      <c r="AE6" s="122">
        <f t="shared" si="4"/>
        <v>6161000</v>
      </c>
      <c r="AF6" s="239">
        <f t="shared" si="4"/>
        <v>0</v>
      </c>
      <c r="AG6" s="265">
        <f t="shared" si="4"/>
        <v>0</v>
      </c>
      <c r="AH6" s="242" t="e">
        <f t="shared" si="4"/>
        <v>#VALUE!</v>
      </c>
      <c r="AI6" s="242" t="e">
        <f t="shared" si="4"/>
        <v>#VALUE!</v>
      </c>
      <c r="AJ6" s="225">
        <f>AJ7+AJ14</f>
        <v>6100000</v>
      </c>
      <c r="AK6" s="203">
        <f t="shared" si="4"/>
        <v>6186000</v>
      </c>
      <c r="AL6" s="203">
        <f t="shared" si="4"/>
        <v>4080000</v>
      </c>
      <c r="AM6" s="203">
        <f t="shared" si="4"/>
        <v>4685000</v>
      </c>
      <c r="AN6" s="203">
        <f t="shared" si="4"/>
        <v>4855000</v>
      </c>
      <c r="AO6" s="203">
        <f>AO8+AO11+AO14</f>
        <v>4555000</v>
      </c>
      <c r="AP6" s="204">
        <f t="shared" si="4"/>
        <v>5045000</v>
      </c>
      <c r="AQ6" s="122">
        <f t="shared" si="4"/>
        <v>5565000</v>
      </c>
      <c r="AR6" s="203">
        <f t="shared" si="4"/>
        <v>5755000</v>
      </c>
      <c r="AS6" s="122">
        <f t="shared" si="4"/>
        <v>6105000</v>
      </c>
      <c r="AT6" s="203">
        <f t="shared" si="4"/>
        <v>6390000</v>
      </c>
      <c r="AU6" s="203">
        <f t="shared" si="4"/>
        <v>6540000</v>
      </c>
      <c r="AV6" s="565">
        <f t="shared" si="4"/>
        <v>494000</v>
      </c>
      <c r="AW6" s="563">
        <f t="shared" si="4"/>
        <v>140000</v>
      </c>
      <c r="AX6" s="89">
        <f t="shared" si="4"/>
        <v>120000</v>
      </c>
      <c r="AY6" s="225">
        <f t="shared" si="4"/>
        <v>6186000</v>
      </c>
      <c r="AZ6" s="204">
        <f>AZ8+AZ11+AZ14</f>
        <v>6710000</v>
      </c>
      <c r="BA6" s="654">
        <f>BA8+BA11+BA14</f>
        <v>5305000</v>
      </c>
      <c r="BB6" s="620">
        <f>BB8+BB11+BB14</f>
        <v>6330000</v>
      </c>
      <c r="BC6" s="620">
        <f t="shared" ref="BC6:BE6" si="5">BC8+BC11+BC14</f>
        <v>6065000</v>
      </c>
      <c r="BD6" s="779" t="s">
        <v>234</v>
      </c>
      <c r="BE6" s="620">
        <f t="shared" si="5"/>
        <v>6220000</v>
      </c>
      <c r="BF6" s="779"/>
    </row>
    <row r="7" spans="1:58" ht="15.95" hidden="1" customHeight="1" x14ac:dyDescent="0.15">
      <c r="A7" s="637">
        <f>A6+1</f>
        <v>3</v>
      </c>
      <c r="B7" s="7" t="s">
        <v>119</v>
      </c>
      <c r="C7" s="55"/>
      <c r="D7" s="129"/>
      <c r="E7" s="30">
        <v>6670000</v>
      </c>
      <c r="F7" s="31">
        <v>0</v>
      </c>
      <c r="G7" s="31">
        <v>7503000</v>
      </c>
      <c r="H7" s="31">
        <v>7015700</v>
      </c>
      <c r="I7" s="31">
        <v>0</v>
      </c>
      <c r="J7" s="31">
        <v>8021690</v>
      </c>
      <c r="K7" s="31">
        <v>8220610</v>
      </c>
      <c r="L7" s="31">
        <v>7884000</v>
      </c>
      <c r="M7" s="31">
        <v>7804000</v>
      </c>
      <c r="N7" s="69">
        <v>8017000</v>
      </c>
      <c r="O7" s="30">
        <v>7879000</v>
      </c>
      <c r="P7" s="31">
        <v>7928000</v>
      </c>
      <c r="Q7" s="31">
        <v>7612000</v>
      </c>
      <c r="R7" s="87">
        <v>7578000</v>
      </c>
      <c r="S7" s="78">
        <v>7546000</v>
      </c>
      <c r="T7" s="31">
        <v>7264000</v>
      </c>
      <c r="U7" s="31">
        <v>6745000</v>
      </c>
      <c r="V7" s="32">
        <v>6243000</v>
      </c>
      <c r="W7" s="108">
        <v>6559000</v>
      </c>
      <c r="X7" s="104" t="e">
        <f>#REF!+#REF!</f>
        <v>#REF!</v>
      </c>
      <c r="Y7" s="104" t="e">
        <f>#REF!+#REF!</f>
        <v>#REF!</v>
      </c>
      <c r="Z7" s="566" t="e">
        <f>#REF!+#REF!</f>
        <v>#REF!</v>
      </c>
      <c r="AA7" s="566" t="e">
        <f>#REF!+#REF!</f>
        <v>#REF!</v>
      </c>
      <c r="AB7" s="566" t="e">
        <f>#REF!+#REF!</f>
        <v>#REF!</v>
      </c>
      <c r="AC7" s="566" t="e">
        <f>#REF!+#REF!</f>
        <v>#REF!</v>
      </c>
      <c r="AD7" s="566" t="e">
        <f>#REF!+#REF!</f>
        <v>#REF!</v>
      </c>
      <c r="AE7" s="123" t="e">
        <f>#REF!+#REF!</f>
        <v>#REF!</v>
      </c>
      <c r="AF7" s="240" t="e">
        <f>Z7-Y7</f>
        <v>#REF!</v>
      </c>
      <c r="AG7" s="266" t="s">
        <v>123</v>
      </c>
      <c r="AH7" s="134" t="s">
        <v>136</v>
      </c>
      <c r="AI7" s="134"/>
      <c r="AJ7" s="1254">
        <v>6000000</v>
      </c>
      <c r="AK7" s="205">
        <v>6086000</v>
      </c>
      <c r="AL7" s="205" t="e">
        <f>#REF!+#REF!</f>
        <v>#REF!</v>
      </c>
      <c r="AM7" s="205" t="e">
        <f>#REF!+#REF!</f>
        <v>#REF!</v>
      </c>
      <c r="AN7" s="205" t="e">
        <f>#REF!+#REF!</f>
        <v>#REF!</v>
      </c>
      <c r="AO7" s="205" t="e">
        <f>#REF!+#REF!</f>
        <v>#REF!</v>
      </c>
      <c r="AP7" s="206" t="e">
        <f>#REF!+#REF!</f>
        <v>#REF!</v>
      </c>
      <c r="AQ7" s="259" t="e">
        <f>#REF!+#REF!</f>
        <v>#REF!</v>
      </c>
      <c r="AR7" s="205" t="e">
        <f>#REF!+#REF!</f>
        <v>#REF!</v>
      </c>
      <c r="AS7" s="259" t="e">
        <f>#REF!+#REF!</f>
        <v>#REF!</v>
      </c>
      <c r="AT7" s="205" t="e">
        <f>#REF!+#REF!</f>
        <v>#REF!</v>
      </c>
      <c r="AU7" s="205" t="e">
        <f>#REF!+#REF!</f>
        <v>#REF!</v>
      </c>
      <c r="AV7" s="567" t="e">
        <f>AT7-AC7</f>
        <v>#REF!</v>
      </c>
      <c r="AW7" s="104" t="e">
        <f>AE7-AD7</f>
        <v>#REF!</v>
      </c>
      <c r="AX7" s="147" t="e">
        <f>#REF!+#REF!</f>
        <v>#REF!</v>
      </c>
      <c r="AY7" s="749">
        <v>6086000</v>
      </c>
      <c r="AZ7" s="216">
        <v>6610000</v>
      </c>
      <c r="BA7" s="780" t="e">
        <f>#REF!+#REF!</f>
        <v>#REF!</v>
      </c>
      <c r="BB7" s="695" t="e">
        <f>#REF!+#REF!</f>
        <v>#REF!</v>
      </c>
      <c r="BC7" s="695"/>
      <c r="BD7" s="696"/>
      <c r="BE7" s="696"/>
      <c r="BF7" s="134"/>
    </row>
    <row r="8" spans="1:58" ht="13.5" customHeight="1" x14ac:dyDescent="0.15">
      <c r="A8" s="637">
        <v>3</v>
      </c>
      <c r="B8" s="8"/>
      <c r="C8" s="781" t="s">
        <v>170</v>
      </c>
      <c r="D8" s="782"/>
      <c r="E8" s="362"/>
      <c r="F8" s="363"/>
      <c r="G8" s="363"/>
      <c r="H8" s="363"/>
      <c r="I8" s="363"/>
      <c r="J8" s="363"/>
      <c r="K8" s="363"/>
      <c r="L8" s="363"/>
      <c r="M8" s="363"/>
      <c r="N8" s="364"/>
      <c r="O8" s="362"/>
      <c r="P8" s="363"/>
      <c r="Q8" s="363"/>
      <c r="R8" s="364"/>
      <c r="S8" s="783"/>
      <c r="T8" s="363"/>
      <c r="U8" s="363"/>
      <c r="V8" s="784"/>
      <c r="W8" s="785"/>
      <c r="X8" s="786">
        <f>SUM(X9:X10)</f>
        <v>4420000</v>
      </c>
      <c r="Y8" s="786">
        <f t="shared" ref="Y8:AE8" si="6">SUM(Y9:Y10)</f>
        <v>4900000</v>
      </c>
      <c r="Z8" s="787">
        <f t="shared" si="6"/>
        <v>5190000</v>
      </c>
      <c r="AA8" s="787">
        <f t="shared" si="6"/>
        <v>5295000</v>
      </c>
      <c r="AB8" s="787">
        <f t="shared" si="6"/>
        <v>5375000</v>
      </c>
      <c r="AC8" s="787">
        <f t="shared" si="6"/>
        <v>5465000</v>
      </c>
      <c r="AD8" s="787">
        <f t="shared" si="6"/>
        <v>5585000</v>
      </c>
      <c r="AE8" s="788">
        <f t="shared" si="6"/>
        <v>5725000</v>
      </c>
      <c r="AF8" s="789"/>
      <c r="AG8" s="790"/>
      <c r="AH8" s="791"/>
      <c r="AI8" s="791"/>
      <c r="AJ8" s="1255"/>
      <c r="AK8" s="348">
        <f t="shared" ref="AK8:AZ8" si="7">SUM(AK9:AK10)</f>
        <v>5835000</v>
      </c>
      <c r="AL8" s="348">
        <f t="shared" si="7"/>
        <v>3835000</v>
      </c>
      <c r="AM8" s="348">
        <f t="shared" si="7"/>
        <v>4425000</v>
      </c>
      <c r="AN8" s="348">
        <f t="shared" si="7"/>
        <v>4585000</v>
      </c>
      <c r="AO8" s="348">
        <f>SUM(AO9:AO10)</f>
        <v>4395000</v>
      </c>
      <c r="AP8" s="792">
        <f t="shared" si="7"/>
        <v>4765000</v>
      </c>
      <c r="AQ8" s="793">
        <f t="shared" si="7"/>
        <v>5255000</v>
      </c>
      <c r="AR8" s="348">
        <f t="shared" si="7"/>
        <v>5435000</v>
      </c>
      <c r="AS8" s="793">
        <f t="shared" si="7"/>
        <v>5755000</v>
      </c>
      <c r="AT8" s="348">
        <f t="shared" si="7"/>
        <v>6035000</v>
      </c>
      <c r="AU8" s="348">
        <f t="shared" si="7"/>
        <v>6175000</v>
      </c>
      <c r="AV8" s="794">
        <f t="shared" si="7"/>
        <v>570000</v>
      </c>
      <c r="AW8" s="786">
        <f t="shared" si="7"/>
        <v>140000</v>
      </c>
      <c r="AX8" s="795">
        <f t="shared" si="7"/>
        <v>120000</v>
      </c>
      <c r="AY8" s="796">
        <f t="shared" si="7"/>
        <v>5835000</v>
      </c>
      <c r="AZ8" s="797">
        <f t="shared" si="7"/>
        <v>6345000</v>
      </c>
      <c r="BA8" s="798">
        <f>SUM(BA9:BA10)</f>
        <v>4975000</v>
      </c>
      <c r="BB8" s="697">
        <f>SUM(BB9:BB10)</f>
        <v>6000000</v>
      </c>
      <c r="BC8" s="697">
        <f>SUM(BC9:BC10)</f>
        <v>5695000</v>
      </c>
      <c r="BD8" s="697"/>
      <c r="BE8" s="697">
        <f>SUM(BE9:BE10)</f>
        <v>5900000</v>
      </c>
      <c r="BF8" s="799"/>
    </row>
    <row r="9" spans="1:58" ht="13.15" customHeight="1" x14ac:dyDescent="0.15">
      <c r="A9" s="637">
        <f t="shared" ref="A9:A14" si="8">A8+1</f>
        <v>4</v>
      </c>
      <c r="B9" s="8"/>
      <c r="C9" s="346"/>
      <c r="D9" s="800" t="s">
        <v>169</v>
      </c>
      <c r="E9" s="109"/>
      <c r="F9" s="110"/>
      <c r="G9" s="110"/>
      <c r="H9" s="110"/>
      <c r="I9" s="110"/>
      <c r="J9" s="110"/>
      <c r="K9" s="110"/>
      <c r="L9" s="110"/>
      <c r="M9" s="110"/>
      <c r="N9" s="111"/>
      <c r="O9" s="109"/>
      <c r="P9" s="110"/>
      <c r="Q9" s="110"/>
      <c r="R9" s="111"/>
      <c r="S9" s="112"/>
      <c r="T9" s="110"/>
      <c r="U9" s="110"/>
      <c r="V9" s="113"/>
      <c r="W9" s="114"/>
      <c r="X9" s="801">
        <f>4080000+10000</f>
        <v>4090000</v>
      </c>
      <c r="Y9" s="801">
        <f>4480000+10000</f>
        <v>4490000</v>
      </c>
      <c r="Z9" s="802">
        <f>4740000+10000</f>
        <v>4750000</v>
      </c>
      <c r="AA9" s="802">
        <f>4845000+10000</f>
        <v>4855000</v>
      </c>
      <c r="AB9" s="802">
        <f>4925000+10000</f>
        <v>4935000</v>
      </c>
      <c r="AC9" s="802">
        <f>5015000+10000</f>
        <v>5025000</v>
      </c>
      <c r="AD9" s="802">
        <f>5125000+10000</f>
        <v>5135000</v>
      </c>
      <c r="AE9" s="803">
        <f>5235000+10000</f>
        <v>5245000</v>
      </c>
      <c r="AF9" s="804">
        <f>Z9-Y9</f>
        <v>260000</v>
      </c>
      <c r="AG9" s="805" t="s">
        <v>128</v>
      </c>
      <c r="AH9" s="791" t="s">
        <v>133</v>
      </c>
      <c r="AI9" s="791"/>
      <c r="AJ9" s="1255"/>
      <c r="AK9" s="806">
        <v>5325000</v>
      </c>
      <c r="AL9" s="806">
        <v>3455000</v>
      </c>
      <c r="AM9" s="806">
        <f>4005000+10000</f>
        <v>4015000</v>
      </c>
      <c r="AN9" s="806">
        <f>4145000+10000</f>
        <v>4155000</v>
      </c>
      <c r="AO9" s="806">
        <f>3975000+10000</f>
        <v>3985000</v>
      </c>
      <c r="AP9" s="807">
        <f>4295000+10000</f>
        <v>4305000</v>
      </c>
      <c r="AQ9" s="808">
        <f>4685000+10000</f>
        <v>4695000</v>
      </c>
      <c r="AR9" s="806">
        <f>4825000+10000</f>
        <v>4835000</v>
      </c>
      <c r="AS9" s="808">
        <f>5075000+10000</f>
        <v>5085000</v>
      </c>
      <c r="AT9" s="806">
        <f>5285000+10000</f>
        <v>5295000</v>
      </c>
      <c r="AU9" s="806">
        <f>5405000+10000</f>
        <v>5415000</v>
      </c>
      <c r="AV9" s="809">
        <f>AT9-AC9</f>
        <v>270000</v>
      </c>
      <c r="AW9" s="801">
        <f>AE9-AD9</f>
        <v>110000</v>
      </c>
      <c r="AX9" s="810">
        <v>100000</v>
      </c>
      <c r="AY9" s="811">
        <v>5325000</v>
      </c>
      <c r="AZ9" s="812">
        <f>5525000+10000</f>
        <v>5535000</v>
      </c>
      <c r="BA9" s="813">
        <v>4695000</v>
      </c>
      <c r="BB9" s="698">
        <v>5400000</v>
      </c>
      <c r="BC9" s="698">
        <v>4835000</v>
      </c>
      <c r="BD9" s="699"/>
      <c r="BE9" s="699">
        <v>5300000</v>
      </c>
      <c r="BF9" s="814"/>
    </row>
    <row r="10" spans="1:58" ht="13.15" customHeight="1" x14ac:dyDescent="0.15">
      <c r="A10" s="637">
        <f t="shared" si="8"/>
        <v>5</v>
      </c>
      <c r="B10" s="8"/>
      <c r="C10" s="107"/>
      <c r="D10" s="815" t="s">
        <v>168</v>
      </c>
      <c r="E10" s="115"/>
      <c r="F10" s="116"/>
      <c r="G10" s="116"/>
      <c r="H10" s="116"/>
      <c r="I10" s="116"/>
      <c r="J10" s="116"/>
      <c r="K10" s="116"/>
      <c r="L10" s="116"/>
      <c r="M10" s="116"/>
      <c r="N10" s="117"/>
      <c r="O10" s="115"/>
      <c r="P10" s="116"/>
      <c r="Q10" s="116"/>
      <c r="R10" s="117"/>
      <c r="S10" s="118"/>
      <c r="T10" s="116"/>
      <c r="U10" s="116"/>
      <c r="V10" s="119"/>
      <c r="W10" s="120"/>
      <c r="X10" s="816">
        <v>330000</v>
      </c>
      <c r="Y10" s="816">
        <v>410000</v>
      </c>
      <c r="Z10" s="817">
        <v>440000</v>
      </c>
      <c r="AA10" s="817">
        <v>440000</v>
      </c>
      <c r="AB10" s="817">
        <v>440000</v>
      </c>
      <c r="AC10" s="817">
        <v>440000</v>
      </c>
      <c r="AD10" s="817">
        <v>450000</v>
      </c>
      <c r="AE10" s="818">
        <v>480000</v>
      </c>
      <c r="AF10" s="819"/>
      <c r="AG10" s="790"/>
      <c r="AH10" s="791"/>
      <c r="AI10" s="791"/>
      <c r="AJ10" s="1255"/>
      <c r="AK10" s="820">
        <v>510000</v>
      </c>
      <c r="AL10" s="820">
        <v>380000</v>
      </c>
      <c r="AM10" s="820">
        <v>410000</v>
      </c>
      <c r="AN10" s="820">
        <v>430000</v>
      </c>
      <c r="AO10" s="820">
        <v>410000</v>
      </c>
      <c r="AP10" s="821">
        <v>460000</v>
      </c>
      <c r="AQ10" s="822">
        <v>560000</v>
      </c>
      <c r="AR10" s="820">
        <v>600000</v>
      </c>
      <c r="AS10" s="822">
        <v>670000</v>
      </c>
      <c r="AT10" s="820">
        <v>740000</v>
      </c>
      <c r="AU10" s="820">
        <v>760000</v>
      </c>
      <c r="AV10" s="823">
        <v>300000</v>
      </c>
      <c r="AW10" s="816">
        <v>30000</v>
      </c>
      <c r="AX10" s="824">
        <v>20000</v>
      </c>
      <c r="AY10" s="825">
        <v>510000</v>
      </c>
      <c r="AZ10" s="826">
        <v>810000</v>
      </c>
      <c r="BA10" s="827">
        <v>280000</v>
      </c>
      <c r="BB10" s="700">
        <v>600000</v>
      </c>
      <c r="BC10" s="700">
        <v>860000</v>
      </c>
      <c r="BD10" s="701"/>
      <c r="BE10" s="701">
        <v>600000</v>
      </c>
      <c r="BF10" s="828"/>
    </row>
    <row r="11" spans="1:58" ht="13.5" customHeight="1" x14ac:dyDescent="0.15">
      <c r="A11" s="637">
        <f t="shared" si="8"/>
        <v>6</v>
      </c>
      <c r="B11" s="8"/>
      <c r="C11" s="347" t="s">
        <v>171</v>
      </c>
      <c r="D11" s="829"/>
      <c r="E11" s="362"/>
      <c r="F11" s="363"/>
      <c r="G11" s="363"/>
      <c r="H11" s="363"/>
      <c r="I11" s="363"/>
      <c r="J11" s="363"/>
      <c r="K11" s="363"/>
      <c r="L11" s="363"/>
      <c r="M11" s="363"/>
      <c r="N11" s="364"/>
      <c r="O11" s="362"/>
      <c r="P11" s="363"/>
      <c r="Q11" s="363"/>
      <c r="R11" s="364"/>
      <c r="S11" s="783"/>
      <c r="T11" s="363"/>
      <c r="U11" s="363"/>
      <c r="V11" s="784"/>
      <c r="W11" s="785"/>
      <c r="X11" s="786">
        <f>SUM(X12:X13)</f>
        <v>236000</v>
      </c>
      <c r="Y11" s="786">
        <f t="shared" ref="Y11:AE11" si="9">SUM(Y12:Y13)</f>
        <v>296000</v>
      </c>
      <c r="Z11" s="787">
        <f t="shared" si="9"/>
        <v>311000</v>
      </c>
      <c r="AA11" s="787">
        <f t="shared" si="9"/>
        <v>311000</v>
      </c>
      <c r="AB11" s="787">
        <f t="shared" si="9"/>
        <v>326000</v>
      </c>
      <c r="AC11" s="787">
        <f t="shared" si="9"/>
        <v>331000</v>
      </c>
      <c r="AD11" s="787">
        <f t="shared" si="9"/>
        <v>336000</v>
      </c>
      <c r="AE11" s="788">
        <f t="shared" si="9"/>
        <v>336000</v>
      </c>
      <c r="AF11" s="819"/>
      <c r="AG11" s="790"/>
      <c r="AH11" s="791"/>
      <c r="AI11" s="791"/>
      <c r="AJ11" s="1255"/>
      <c r="AK11" s="348">
        <f t="shared" ref="AK11:AY11" si="10">SUM(AK12:AK13)</f>
        <v>251000</v>
      </c>
      <c r="AL11" s="348">
        <f t="shared" si="10"/>
        <v>145000</v>
      </c>
      <c r="AM11" s="348">
        <f t="shared" si="10"/>
        <v>160000</v>
      </c>
      <c r="AN11" s="348">
        <f t="shared" si="10"/>
        <v>170000</v>
      </c>
      <c r="AO11" s="348">
        <f>SUM(AO12:AO13)</f>
        <v>160000</v>
      </c>
      <c r="AP11" s="792">
        <f t="shared" si="10"/>
        <v>180000</v>
      </c>
      <c r="AQ11" s="793">
        <f t="shared" si="10"/>
        <v>210000</v>
      </c>
      <c r="AR11" s="348">
        <f t="shared" si="10"/>
        <v>220000</v>
      </c>
      <c r="AS11" s="793">
        <f t="shared" si="10"/>
        <v>250000</v>
      </c>
      <c r="AT11" s="348">
        <f t="shared" si="10"/>
        <v>255000</v>
      </c>
      <c r="AU11" s="348">
        <f t="shared" si="10"/>
        <v>265000</v>
      </c>
      <c r="AV11" s="794">
        <f t="shared" si="10"/>
        <v>-76000</v>
      </c>
      <c r="AW11" s="786">
        <f t="shared" si="10"/>
        <v>0</v>
      </c>
      <c r="AX11" s="830">
        <f t="shared" si="10"/>
        <v>0</v>
      </c>
      <c r="AY11" s="831">
        <f t="shared" si="10"/>
        <v>251000</v>
      </c>
      <c r="AZ11" s="797">
        <v>265000</v>
      </c>
      <c r="BA11" s="832">
        <f>SUM(BA12:BA13)</f>
        <v>230000</v>
      </c>
      <c r="BB11" s="702">
        <f>SUM(BB12:BB13)</f>
        <v>230000</v>
      </c>
      <c r="BC11" s="702">
        <f>SUM(BC12:BC13)</f>
        <v>270000</v>
      </c>
      <c r="BD11" s="702"/>
      <c r="BE11" s="702">
        <f t="shared" ref="BE11" si="11">SUM(BE12:BE13)</f>
        <v>270000</v>
      </c>
      <c r="BF11" s="833"/>
    </row>
    <row r="12" spans="1:58" ht="13.15" customHeight="1" x14ac:dyDescent="0.15">
      <c r="A12" s="637">
        <f t="shared" si="8"/>
        <v>7</v>
      </c>
      <c r="B12" s="8"/>
      <c r="C12" s="346"/>
      <c r="D12" s="800" t="s">
        <v>169</v>
      </c>
      <c r="E12" s="109"/>
      <c r="F12" s="110"/>
      <c r="G12" s="110"/>
      <c r="H12" s="110"/>
      <c r="I12" s="110"/>
      <c r="J12" s="110"/>
      <c r="K12" s="110"/>
      <c r="L12" s="110"/>
      <c r="M12" s="110"/>
      <c r="N12" s="111"/>
      <c r="O12" s="109"/>
      <c r="P12" s="110"/>
      <c r="Q12" s="110"/>
      <c r="R12" s="111"/>
      <c r="S12" s="112"/>
      <c r="T12" s="110"/>
      <c r="U12" s="110"/>
      <c r="V12" s="113"/>
      <c r="W12" s="114"/>
      <c r="X12" s="801">
        <v>205000</v>
      </c>
      <c r="Y12" s="801">
        <v>235000</v>
      </c>
      <c r="Z12" s="802">
        <v>250000</v>
      </c>
      <c r="AA12" s="802">
        <v>250000</v>
      </c>
      <c r="AB12" s="802">
        <v>260000</v>
      </c>
      <c r="AC12" s="802">
        <v>265000</v>
      </c>
      <c r="AD12" s="802">
        <v>270000</v>
      </c>
      <c r="AE12" s="803">
        <v>270000</v>
      </c>
      <c r="AF12" s="834">
        <f t="shared" ref="AF12:AF19" si="12">Z12-Y12</f>
        <v>15000</v>
      </c>
      <c r="AG12" s="835" t="s">
        <v>124</v>
      </c>
      <c r="AH12" s="791" t="s">
        <v>134</v>
      </c>
      <c r="AI12" s="791"/>
      <c r="AJ12" s="1255"/>
      <c r="AK12" s="806">
        <v>225000</v>
      </c>
      <c r="AL12" s="806">
        <v>140000</v>
      </c>
      <c r="AM12" s="806">
        <v>155000</v>
      </c>
      <c r="AN12" s="806">
        <v>165000</v>
      </c>
      <c r="AO12" s="806">
        <f>155000</f>
        <v>155000</v>
      </c>
      <c r="AP12" s="807">
        <v>170000</v>
      </c>
      <c r="AQ12" s="808">
        <v>185000</v>
      </c>
      <c r="AR12" s="806">
        <v>195000</v>
      </c>
      <c r="AS12" s="808">
        <v>220000</v>
      </c>
      <c r="AT12" s="806">
        <v>225000</v>
      </c>
      <c r="AU12" s="806">
        <v>235000</v>
      </c>
      <c r="AV12" s="809">
        <f t="shared" ref="AV12:AV19" si="13">AT12-AC12</f>
        <v>-40000</v>
      </c>
      <c r="AW12" s="801">
        <f t="shared" ref="AW12:AW19" si="14">AE12-AD12</f>
        <v>0</v>
      </c>
      <c r="AX12" s="836">
        <v>0</v>
      </c>
      <c r="AY12" s="837">
        <v>225000</v>
      </c>
      <c r="AZ12" s="812">
        <v>235000</v>
      </c>
      <c r="BA12" s="838">
        <v>200000</v>
      </c>
      <c r="BB12" s="703">
        <v>200000</v>
      </c>
      <c r="BC12" s="703">
        <v>240000</v>
      </c>
      <c r="BD12" s="775"/>
      <c r="BE12" s="704">
        <v>240000</v>
      </c>
      <c r="BF12" s="791"/>
    </row>
    <row r="13" spans="1:58" ht="13.15" customHeight="1" x14ac:dyDescent="0.15">
      <c r="A13" s="637">
        <f t="shared" si="8"/>
        <v>8</v>
      </c>
      <c r="B13" s="8"/>
      <c r="C13" s="346"/>
      <c r="D13" s="839" t="s">
        <v>168</v>
      </c>
      <c r="E13" s="840"/>
      <c r="F13" s="841"/>
      <c r="G13" s="841"/>
      <c r="H13" s="841"/>
      <c r="I13" s="841"/>
      <c r="J13" s="841"/>
      <c r="K13" s="841"/>
      <c r="L13" s="841"/>
      <c r="M13" s="841"/>
      <c r="N13" s="842"/>
      <c r="O13" s="840"/>
      <c r="P13" s="841"/>
      <c r="Q13" s="841"/>
      <c r="R13" s="842"/>
      <c r="S13" s="843"/>
      <c r="T13" s="841"/>
      <c r="U13" s="841"/>
      <c r="V13" s="844"/>
      <c r="W13" s="845"/>
      <c r="X13" s="846">
        <f>25000+6000</f>
        <v>31000</v>
      </c>
      <c r="Y13" s="846">
        <f>55000+6000</f>
        <v>61000</v>
      </c>
      <c r="Z13" s="847">
        <f>55000+6000</f>
        <v>61000</v>
      </c>
      <c r="AA13" s="847">
        <f>55000+6000</f>
        <v>61000</v>
      </c>
      <c r="AB13" s="847">
        <f>60000+6000</f>
        <v>66000</v>
      </c>
      <c r="AC13" s="847">
        <f>60000+6000</f>
        <v>66000</v>
      </c>
      <c r="AD13" s="847">
        <f>60000+6000</f>
        <v>66000</v>
      </c>
      <c r="AE13" s="848">
        <f>60000+6000</f>
        <v>66000</v>
      </c>
      <c r="AF13" s="819">
        <f t="shared" si="12"/>
        <v>0</v>
      </c>
      <c r="AG13" s="790" t="s">
        <v>124</v>
      </c>
      <c r="AH13" s="849" t="s">
        <v>135</v>
      </c>
      <c r="AI13" s="849"/>
      <c r="AJ13" s="1255"/>
      <c r="AK13" s="850">
        <v>26000</v>
      </c>
      <c r="AL13" s="850">
        <f>5000</f>
        <v>5000</v>
      </c>
      <c r="AM13" s="850">
        <f>5000</f>
        <v>5000</v>
      </c>
      <c r="AN13" s="850">
        <f>5000</f>
        <v>5000</v>
      </c>
      <c r="AO13" s="850">
        <f>5000</f>
        <v>5000</v>
      </c>
      <c r="AP13" s="851">
        <v>10000</v>
      </c>
      <c r="AQ13" s="852">
        <v>25000</v>
      </c>
      <c r="AR13" s="850">
        <v>25000</v>
      </c>
      <c r="AS13" s="852">
        <v>30000</v>
      </c>
      <c r="AT13" s="850">
        <v>30000</v>
      </c>
      <c r="AU13" s="850">
        <v>30000</v>
      </c>
      <c r="AV13" s="853">
        <f t="shared" si="13"/>
        <v>-36000</v>
      </c>
      <c r="AW13" s="846">
        <f t="shared" si="14"/>
        <v>0</v>
      </c>
      <c r="AX13" s="854">
        <v>0</v>
      </c>
      <c r="AY13" s="855">
        <v>26000</v>
      </c>
      <c r="AZ13" s="856">
        <v>30000</v>
      </c>
      <c r="BA13" s="857">
        <v>30000</v>
      </c>
      <c r="BB13" s="705">
        <v>30000</v>
      </c>
      <c r="BC13" s="705">
        <v>30000</v>
      </c>
      <c r="BD13" s="706"/>
      <c r="BE13" s="706">
        <v>30000</v>
      </c>
      <c r="BF13" s="858"/>
    </row>
    <row r="14" spans="1:58" ht="13.5" customHeight="1" x14ac:dyDescent="0.15">
      <c r="A14" s="637">
        <f t="shared" si="8"/>
        <v>9</v>
      </c>
      <c r="B14" s="349"/>
      <c r="C14" s="350" t="s">
        <v>172</v>
      </c>
      <c r="D14" s="133"/>
      <c r="E14" s="352">
        <v>0</v>
      </c>
      <c r="F14" s="353">
        <v>0</v>
      </c>
      <c r="G14" s="353">
        <v>0</v>
      </c>
      <c r="H14" s="353">
        <v>0</v>
      </c>
      <c r="I14" s="353">
        <v>0</v>
      </c>
      <c r="J14" s="353">
        <v>0</v>
      </c>
      <c r="K14" s="353">
        <v>0</v>
      </c>
      <c r="L14" s="353">
        <v>0</v>
      </c>
      <c r="M14" s="353">
        <v>0</v>
      </c>
      <c r="N14" s="350">
        <v>0</v>
      </c>
      <c r="O14" s="352">
        <v>0</v>
      </c>
      <c r="P14" s="353">
        <v>0</v>
      </c>
      <c r="Q14" s="353">
        <v>0</v>
      </c>
      <c r="R14" s="354">
        <v>0</v>
      </c>
      <c r="S14" s="355">
        <v>0</v>
      </c>
      <c r="T14" s="353">
        <v>0</v>
      </c>
      <c r="U14" s="353">
        <v>0</v>
      </c>
      <c r="V14" s="356">
        <v>0</v>
      </c>
      <c r="W14" s="357">
        <v>100000</v>
      </c>
      <c r="X14" s="568">
        <v>100000</v>
      </c>
      <c r="Y14" s="568">
        <v>100000</v>
      </c>
      <c r="Z14" s="569">
        <v>100000</v>
      </c>
      <c r="AA14" s="569">
        <v>100000</v>
      </c>
      <c r="AB14" s="569">
        <v>100000</v>
      </c>
      <c r="AC14" s="569">
        <v>100000</v>
      </c>
      <c r="AD14" s="569">
        <v>100000</v>
      </c>
      <c r="AE14" s="351">
        <v>100000</v>
      </c>
      <c r="AF14" s="358">
        <f t="shared" si="12"/>
        <v>0</v>
      </c>
      <c r="AG14" s="351"/>
      <c r="AH14" s="247" t="s">
        <v>143</v>
      </c>
      <c r="AI14" s="247" t="s">
        <v>143</v>
      </c>
      <c r="AJ14" s="359">
        <v>100000</v>
      </c>
      <c r="AK14" s="296">
        <v>100000</v>
      </c>
      <c r="AL14" s="296">
        <v>100000</v>
      </c>
      <c r="AM14" s="296">
        <v>100000</v>
      </c>
      <c r="AN14" s="296">
        <v>100000</v>
      </c>
      <c r="AO14" s="296">
        <v>0</v>
      </c>
      <c r="AP14" s="360">
        <v>100000</v>
      </c>
      <c r="AQ14" s="351">
        <v>100000</v>
      </c>
      <c r="AR14" s="296">
        <v>100000</v>
      </c>
      <c r="AS14" s="351">
        <v>100000</v>
      </c>
      <c r="AT14" s="296">
        <v>100000</v>
      </c>
      <c r="AU14" s="296">
        <v>100000</v>
      </c>
      <c r="AV14" s="570">
        <f t="shared" si="13"/>
        <v>0</v>
      </c>
      <c r="AW14" s="568">
        <f t="shared" si="14"/>
        <v>0</v>
      </c>
      <c r="AX14" s="361">
        <v>0</v>
      </c>
      <c r="AY14" s="359">
        <v>100000</v>
      </c>
      <c r="AZ14" s="360">
        <f t="shared" ref="AZ14:AZ19" si="15">ROUND(AV14+AY14,-3)</f>
        <v>100000</v>
      </c>
      <c r="BA14" s="655">
        <v>100000</v>
      </c>
      <c r="BB14" s="655">
        <v>100000</v>
      </c>
      <c r="BC14" s="605">
        <v>100000</v>
      </c>
      <c r="BD14" s="690"/>
      <c r="BE14" s="690">
        <v>50000</v>
      </c>
      <c r="BF14" s="247" t="s">
        <v>304</v>
      </c>
    </row>
    <row r="15" spans="1:58" ht="13.5" hidden="1" customHeight="1" x14ac:dyDescent="0.15">
      <c r="A15" s="637"/>
      <c r="B15" s="9" t="s">
        <v>137</v>
      </c>
      <c r="C15" s="52"/>
      <c r="D15" s="130"/>
      <c r="E15" s="21">
        <v>0</v>
      </c>
      <c r="F15" s="22">
        <v>0</v>
      </c>
      <c r="G15" s="22"/>
      <c r="H15" s="22"/>
      <c r="I15" s="22">
        <v>0</v>
      </c>
      <c r="J15" s="22">
        <v>0</v>
      </c>
      <c r="K15" s="22">
        <v>2004000</v>
      </c>
      <c r="L15" s="22"/>
      <c r="M15" s="22"/>
      <c r="N15" s="65"/>
      <c r="O15" s="21"/>
      <c r="P15" s="22"/>
      <c r="Q15" s="22"/>
      <c r="R15" s="83"/>
      <c r="S15" s="74"/>
      <c r="T15" s="22"/>
      <c r="U15" s="22"/>
      <c r="V15" s="23"/>
      <c r="W15" s="43"/>
      <c r="X15" s="571"/>
      <c r="Y15" s="571"/>
      <c r="Z15" s="572"/>
      <c r="AA15" s="572"/>
      <c r="AB15" s="572"/>
      <c r="AC15" s="572"/>
      <c r="AD15" s="572"/>
      <c r="AE15" s="124"/>
      <c r="AF15" s="237">
        <f t="shared" si="12"/>
        <v>0</v>
      </c>
      <c r="AG15" s="256"/>
      <c r="AH15" s="243"/>
      <c r="AI15" s="291"/>
      <c r="AJ15" s="226"/>
      <c r="AK15" s="207">
        <v>0</v>
      </c>
      <c r="AL15" s="207">
        <v>0</v>
      </c>
      <c r="AM15" s="207">
        <v>0</v>
      </c>
      <c r="AN15" s="207">
        <v>0</v>
      </c>
      <c r="AO15" s="207">
        <v>0</v>
      </c>
      <c r="AP15" s="208"/>
      <c r="AQ15" s="124"/>
      <c r="AR15" s="207"/>
      <c r="AS15" s="124"/>
      <c r="AT15" s="207"/>
      <c r="AU15" s="207"/>
      <c r="AV15" s="303">
        <f t="shared" si="13"/>
        <v>0</v>
      </c>
      <c r="AW15" s="571">
        <f t="shared" si="14"/>
        <v>0</v>
      </c>
      <c r="AX15" s="90">
        <v>0</v>
      </c>
      <c r="AY15" s="226">
        <v>0</v>
      </c>
      <c r="AZ15" s="208">
        <f t="shared" si="15"/>
        <v>0</v>
      </c>
      <c r="BA15" s="658">
        <v>0</v>
      </c>
      <c r="BB15" s="607">
        <v>0</v>
      </c>
      <c r="BC15" s="607"/>
      <c r="BD15" s="691"/>
      <c r="BE15" s="691"/>
      <c r="BF15" s="243"/>
    </row>
    <row r="16" spans="1:58" ht="16.899999999999999" customHeight="1" x14ac:dyDescent="0.15">
      <c r="A16" s="637">
        <v>10</v>
      </c>
      <c r="B16" s="6" t="s">
        <v>174</v>
      </c>
      <c r="C16" s="53"/>
      <c r="D16" s="131"/>
      <c r="E16" s="24">
        <f t="shared" ref="E16:M16" si="16">SUM(E17:E19)</f>
        <v>1160000</v>
      </c>
      <c r="F16" s="25">
        <f t="shared" si="16"/>
        <v>0</v>
      </c>
      <c r="G16" s="25">
        <f t="shared" si="16"/>
        <v>50000</v>
      </c>
      <c r="H16" s="25">
        <f t="shared" si="16"/>
        <v>350000</v>
      </c>
      <c r="I16" s="25">
        <f t="shared" si="16"/>
        <v>0</v>
      </c>
      <c r="J16" s="25">
        <f t="shared" si="16"/>
        <v>130000</v>
      </c>
      <c r="K16" s="25">
        <f t="shared" si="16"/>
        <v>469000</v>
      </c>
      <c r="L16" s="25">
        <f t="shared" si="16"/>
        <v>2003530</v>
      </c>
      <c r="M16" s="25">
        <f t="shared" si="16"/>
        <v>3069400</v>
      </c>
      <c r="N16" s="66">
        <f t="shared" ref="N16:AC16" si="17">SUM(N17:N18)</f>
        <v>30000</v>
      </c>
      <c r="O16" s="24">
        <f t="shared" si="17"/>
        <v>30000</v>
      </c>
      <c r="P16" s="25">
        <f t="shared" si="17"/>
        <v>130652</v>
      </c>
      <c r="Q16" s="25">
        <f t="shared" si="17"/>
        <v>190</v>
      </c>
      <c r="R16" s="84">
        <f t="shared" si="17"/>
        <v>1631780</v>
      </c>
      <c r="S16" s="75">
        <f t="shared" si="17"/>
        <v>35080</v>
      </c>
      <c r="T16" s="25">
        <f t="shared" si="17"/>
        <v>778950</v>
      </c>
      <c r="U16" s="25">
        <f t="shared" si="17"/>
        <v>190000</v>
      </c>
      <c r="V16" s="26">
        <f t="shared" si="17"/>
        <v>18821</v>
      </c>
      <c r="W16" s="45">
        <f t="shared" si="17"/>
        <v>0</v>
      </c>
      <c r="X16" s="105">
        <f t="shared" si="17"/>
        <v>0</v>
      </c>
      <c r="Y16" s="105">
        <f t="shared" si="17"/>
        <v>0</v>
      </c>
      <c r="Z16" s="573">
        <f t="shared" si="17"/>
        <v>0</v>
      </c>
      <c r="AA16" s="573">
        <f t="shared" si="17"/>
        <v>0</v>
      </c>
      <c r="AB16" s="573">
        <f t="shared" si="17"/>
        <v>0</v>
      </c>
      <c r="AC16" s="573">
        <f t="shared" si="17"/>
        <v>0</v>
      </c>
      <c r="AD16" s="573">
        <f>SUM(AD17:AD18)</f>
        <v>0</v>
      </c>
      <c r="AE16" s="209">
        <f>SUM(AE17:AE18)</f>
        <v>0</v>
      </c>
      <c r="AF16" s="277">
        <f t="shared" si="12"/>
        <v>0</v>
      </c>
      <c r="AG16" s="292"/>
      <c r="AH16" s="292"/>
      <c r="AI16" s="244"/>
      <c r="AJ16" s="227">
        <f>SUM(AJ17:AJ18)</f>
        <v>100000</v>
      </c>
      <c r="AK16" s="209">
        <v>0</v>
      </c>
      <c r="AL16" s="209">
        <f t="shared" ref="AL16:AT16" si="18">SUM(AL17:AL18)</f>
        <v>120000</v>
      </c>
      <c r="AM16" s="209">
        <f t="shared" si="18"/>
        <v>120000</v>
      </c>
      <c r="AN16" s="209">
        <f t="shared" si="18"/>
        <v>120000</v>
      </c>
      <c r="AO16" s="209">
        <f>SUM(AO17:AO18)</f>
        <v>120000</v>
      </c>
      <c r="AP16" s="210">
        <f t="shared" si="18"/>
        <v>120000</v>
      </c>
      <c r="AQ16" s="125">
        <f t="shared" si="18"/>
        <v>120000</v>
      </c>
      <c r="AR16" s="209">
        <f t="shared" si="18"/>
        <v>120000</v>
      </c>
      <c r="AS16" s="125">
        <f t="shared" si="18"/>
        <v>120000</v>
      </c>
      <c r="AT16" s="209">
        <f t="shared" si="18"/>
        <v>120000</v>
      </c>
      <c r="AU16" s="209">
        <f>SUM(AU17:AU18)</f>
        <v>120000</v>
      </c>
      <c r="AV16" s="304">
        <f t="shared" si="13"/>
        <v>120000</v>
      </c>
      <c r="AW16" s="105">
        <f t="shared" si="14"/>
        <v>0</v>
      </c>
      <c r="AX16" s="91">
        <f>SUM(AX17:AX18)</f>
        <v>0</v>
      </c>
      <c r="AY16" s="227">
        <v>0</v>
      </c>
      <c r="AZ16" s="210">
        <f t="shared" si="15"/>
        <v>120000</v>
      </c>
      <c r="BA16" s="656">
        <f>SUM(BA17:BA18)</f>
        <v>300000</v>
      </c>
      <c r="BB16" s="621">
        <f>SUM(BB17:BB18)</f>
        <v>0</v>
      </c>
      <c r="BC16" s="621">
        <f t="shared" ref="BC16:BE16" si="19">SUM(BC17:BC18)</f>
        <v>400000</v>
      </c>
      <c r="BD16" s="621"/>
      <c r="BE16" s="621">
        <f t="shared" si="19"/>
        <v>0</v>
      </c>
      <c r="BF16" s="244"/>
    </row>
    <row r="17" spans="1:58" ht="15.95" customHeight="1" x14ac:dyDescent="0.15">
      <c r="A17" s="637">
        <f>A16+1</f>
        <v>11</v>
      </c>
      <c r="B17" s="1" t="s">
        <v>138</v>
      </c>
      <c r="C17" s="52"/>
      <c r="D17" s="130"/>
      <c r="E17" s="21">
        <v>1070000</v>
      </c>
      <c r="F17" s="22">
        <v>0</v>
      </c>
      <c r="G17" s="22">
        <v>0</v>
      </c>
      <c r="H17" s="22">
        <v>350000</v>
      </c>
      <c r="I17" s="22">
        <v>0</v>
      </c>
      <c r="J17" s="22">
        <v>30000</v>
      </c>
      <c r="K17" s="22">
        <v>467000</v>
      </c>
      <c r="L17" s="22">
        <v>2000000</v>
      </c>
      <c r="M17" s="22">
        <v>989400</v>
      </c>
      <c r="N17" s="65">
        <v>0</v>
      </c>
      <c r="O17" s="21">
        <v>0</v>
      </c>
      <c r="P17" s="22">
        <v>100000</v>
      </c>
      <c r="Q17" s="22">
        <v>0</v>
      </c>
      <c r="R17" s="83">
        <v>1601340</v>
      </c>
      <c r="S17" s="74">
        <v>0</v>
      </c>
      <c r="T17" s="22">
        <v>718950</v>
      </c>
      <c r="U17" s="22">
        <v>150000</v>
      </c>
      <c r="V17" s="23">
        <v>0</v>
      </c>
      <c r="W17" s="43">
        <v>0</v>
      </c>
      <c r="X17" s="571">
        <v>0</v>
      </c>
      <c r="Y17" s="571">
        <v>0</v>
      </c>
      <c r="Z17" s="572">
        <v>0</v>
      </c>
      <c r="AA17" s="572">
        <v>0</v>
      </c>
      <c r="AB17" s="572">
        <v>0</v>
      </c>
      <c r="AC17" s="572">
        <v>0</v>
      </c>
      <c r="AD17" s="572">
        <v>0</v>
      </c>
      <c r="AE17" s="207">
        <v>0</v>
      </c>
      <c r="AF17" s="276">
        <f t="shared" si="12"/>
        <v>0</v>
      </c>
      <c r="AG17" s="135"/>
      <c r="AH17" s="135"/>
      <c r="AI17" s="243"/>
      <c r="AJ17" s="226">
        <v>0</v>
      </c>
      <c r="AK17" s="207">
        <v>0</v>
      </c>
      <c r="AL17" s="207">
        <v>120000</v>
      </c>
      <c r="AM17" s="207">
        <v>120000</v>
      </c>
      <c r="AN17" s="207">
        <v>120000</v>
      </c>
      <c r="AO17" s="207">
        <v>120000</v>
      </c>
      <c r="AP17" s="208">
        <v>120000</v>
      </c>
      <c r="AQ17" s="124">
        <v>120000</v>
      </c>
      <c r="AR17" s="207">
        <v>120000</v>
      </c>
      <c r="AS17" s="302">
        <v>120000</v>
      </c>
      <c r="AT17" s="211">
        <v>120000</v>
      </c>
      <c r="AU17" s="211">
        <v>120000</v>
      </c>
      <c r="AV17" s="303">
        <f t="shared" si="13"/>
        <v>120000</v>
      </c>
      <c r="AW17" s="571">
        <f t="shared" si="14"/>
        <v>0</v>
      </c>
      <c r="AX17" s="90">
        <v>0</v>
      </c>
      <c r="AY17" s="226">
        <v>0</v>
      </c>
      <c r="AZ17" s="208">
        <f t="shared" si="15"/>
        <v>120000</v>
      </c>
      <c r="BA17" s="657">
        <v>300000</v>
      </c>
      <c r="BB17" s="607">
        <v>0</v>
      </c>
      <c r="BC17" s="607">
        <v>400000</v>
      </c>
      <c r="BD17" s="1238" t="s">
        <v>268</v>
      </c>
      <c r="BE17" s="691">
        <v>0</v>
      </c>
      <c r="BF17" s="243"/>
    </row>
    <row r="18" spans="1:58" ht="15.95" hidden="1" customHeight="1" x14ac:dyDescent="0.15">
      <c r="A18" s="637">
        <f>A17+1</f>
        <v>12</v>
      </c>
      <c r="B18" s="1" t="s">
        <v>139</v>
      </c>
      <c r="C18" s="52"/>
      <c r="D18" s="130"/>
      <c r="E18" s="21">
        <v>90000</v>
      </c>
      <c r="F18" s="22">
        <v>0</v>
      </c>
      <c r="G18" s="22">
        <v>50000</v>
      </c>
      <c r="H18" s="22">
        <v>0</v>
      </c>
      <c r="I18" s="22">
        <v>0</v>
      </c>
      <c r="J18" s="22">
        <v>100000</v>
      </c>
      <c r="K18" s="22">
        <v>2000</v>
      </c>
      <c r="L18" s="22">
        <v>3530</v>
      </c>
      <c r="M18" s="22">
        <v>80000</v>
      </c>
      <c r="N18" s="65">
        <v>30000</v>
      </c>
      <c r="O18" s="21">
        <v>30000</v>
      </c>
      <c r="P18" s="22">
        <v>30652</v>
      </c>
      <c r="Q18" s="22">
        <v>190</v>
      </c>
      <c r="R18" s="83">
        <v>30440</v>
      </c>
      <c r="S18" s="74">
        <v>35080</v>
      </c>
      <c r="T18" s="22">
        <v>60000</v>
      </c>
      <c r="U18" s="22">
        <v>40000</v>
      </c>
      <c r="V18" s="23">
        <v>18821</v>
      </c>
      <c r="W18" s="43">
        <v>0</v>
      </c>
      <c r="X18" s="571">
        <v>0</v>
      </c>
      <c r="Y18" s="571">
        <v>0</v>
      </c>
      <c r="Z18" s="572">
        <v>0</v>
      </c>
      <c r="AA18" s="572">
        <v>0</v>
      </c>
      <c r="AB18" s="572">
        <v>0</v>
      </c>
      <c r="AC18" s="572">
        <v>0</v>
      </c>
      <c r="AD18" s="572">
        <v>0</v>
      </c>
      <c r="AE18" s="207">
        <v>0</v>
      </c>
      <c r="AF18" s="276">
        <f t="shared" si="12"/>
        <v>0</v>
      </c>
      <c r="AG18" s="135"/>
      <c r="AH18" s="135"/>
      <c r="AI18" s="243"/>
      <c r="AJ18" s="226">
        <v>100000</v>
      </c>
      <c r="AK18" s="207">
        <v>0</v>
      </c>
      <c r="AL18" s="207">
        <v>0</v>
      </c>
      <c r="AM18" s="207">
        <v>0</v>
      </c>
      <c r="AN18" s="207">
        <v>0</v>
      </c>
      <c r="AO18" s="207">
        <v>0</v>
      </c>
      <c r="AP18" s="208">
        <v>0</v>
      </c>
      <c r="AQ18" s="124">
        <v>0</v>
      </c>
      <c r="AR18" s="207">
        <v>0</v>
      </c>
      <c r="AS18" s="124">
        <v>0</v>
      </c>
      <c r="AT18" s="207">
        <v>0</v>
      </c>
      <c r="AU18" s="207">
        <v>0</v>
      </c>
      <c r="AV18" s="303">
        <f t="shared" si="13"/>
        <v>0</v>
      </c>
      <c r="AW18" s="571">
        <f t="shared" si="14"/>
        <v>0</v>
      </c>
      <c r="AX18" s="90">
        <v>0</v>
      </c>
      <c r="AY18" s="226">
        <v>0</v>
      </c>
      <c r="AZ18" s="208">
        <f t="shared" si="15"/>
        <v>0</v>
      </c>
      <c r="BA18" s="658">
        <v>0</v>
      </c>
      <c r="BB18" s="607">
        <v>0</v>
      </c>
      <c r="BC18" s="607"/>
      <c r="BD18" s="691"/>
      <c r="BE18" s="691"/>
      <c r="BF18" s="243"/>
    </row>
    <row r="19" spans="1:58" ht="13.5" hidden="1" customHeight="1" x14ac:dyDescent="0.15">
      <c r="A19" s="637"/>
      <c r="B19" s="9" t="s">
        <v>179</v>
      </c>
      <c r="C19" s="52"/>
      <c r="D19" s="130"/>
      <c r="E19" s="21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2000000</v>
      </c>
      <c r="N19" s="65"/>
      <c r="O19" s="21"/>
      <c r="P19" s="22"/>
      <c r="Q19" s="22"/>
      <c r="R19" s="83"/>
      <c r="S19" s="74"/>
      <c r="T19" s="22"/>
      <c r="U19" s="22"/>
      <c r="V19" s="23"/>
      <c r="W19" s="43"/>
      <c r="X19" s="571"/>
      <c r="Y19" s="571"/>
      <c r="Z19" s="572"/>
      <c r="AA19" s="572"/>
      <c r="AB19" s="572"/>
      <c r="AC19" s="572"/>
      <c r="AD19" s="572"/>
      <c r="AE19" s="207"/>
      <c r="AF19" s="276">
        <f t="shared" si="12"/>
        <v>0</v>
      </c>
      <c r="AG19" s="135"/>
      <c r="AH19" s="135"/>
      <c r="AI19" s="243"/>
      <c r="AJ19" s="226"/>
      <c r="AK19" s="207">
        <v>0</v>
      </c>
      <c r="AL19" s="207">
        <v>0</v>
      </c>
      <c r="AM19" s="207">
        <v>0</v>
      </c>
      <c r="AN19" s="207">
        <v>0</v>
      </c>
      <c r="AO19" s="207">
        <v>0</v>
      </c>
      <c r="AP19" s="208"/>
      <c r="AQ19" s="124"/>
      <c r="AR19" s="207"/>
      <c r="AS19" s="124"/>
      <c r="AT19" s="207"/>
      <c r="AU19" s="207"/>
      <c r="AV19" s="303">
        <f t="shared" si="13"/>
        <v>0</v>
      </c>
      <c r="AW19" s="571">
        <f t="shared" si="14"/>
        <v>0</v>
      </c>
      <c r="AX19" s="90">
        <v>0</v>
      </c>
      <c r="AY19" s="226">
        <v>0</v>
      </c>
      <c r="AZ19" s="208">
        <f t="shared" si="15"/>
        <v>0</v>
      </c>
      <c r="BA19" s="658">
        <v>0</v>
      </c>
      <c r="BB19" s="607">
        <v>0</v>
      </c>
      <c r="BC19" s="607"/>
      <c r="BD19" s="691"/>
      <c r="BE19" s="691"/>
      <c r="BF19" s="243"/>
    </row>
    <row r="20" spans="1:58" ht="16.899999999999999" customHeight="1" x14ac:dyDescent="0.15">
      <c r="A20" s="637">
        <v>12</v>
      </c>
      <c r="B20" s="6" t="s">
        <v>175</v>
      </c>
      <c r="C20" s="53"/>
      <c r="D20" s="131"/>
      <c r="E20" s="24">
        <f>E21+E22+E26</f>
        <v>1934000</v>
      </c>
      <c r="F20" s="25">
        <f t="shared" ref="F20:AZ20" si="20">F21+F22+F26</f>
        <v>0</v>
      </c>
      <c r="G20" s="25">
        <f t="shared" si="20"/>
        <v>2393920</v>
      </c>
      <c r="H20" s="25">
        <f t="shared" si="20"/>
        <v>2692600</v>
      </c>
      <c r="I20" s="25">
        <f t="shared" si="20"/>
        <v>0</v>
      </c>
      <c r="J20" s="25">
        <f t="shared" si="20"/>
        <v>2016985</v>
      </c>
      <c r="K20" s="25">
        <f t="shared" si="20"/>
        <v>75200</v>
      </c>
      <c r="L20" s="25">
        <f t="shared" si="20"/>
        <v>85500</v>
      </c>
      <c r="M20" s="25">
        <f t="shared" si="20"/>
        <v>4010000</v>
      </c>
      <c r="N20" s="66">
        <f t="shared" si="20"/>
        <v>2915000</v>
      </c>
      <c r="O20" s="24">
        <f t="shared" si="20"/>
        <v>2173310</v>
      </c>
      <c r="P20" s="25">
        <f t="shared" si="20"/>
        <v>2052000</v>
      </c>
      <c r="Q20" s="25">
        <f t="shared" si="20"/>
        <v>736350</v>
      </c>
      <c r="R20" s="84">
        <f t="shared" si="20"/>
        <v>1764500</v>
      </c>
      <c r="S20" s="75">
        <f t="shared" si="20"/>
        <v>2011000</v>
      </c>
      <c r="T20" s="25">
        <f t="shared" si="20"/>
        <v>1905000</v>
      </c>
      <c r="U20" s="25">
        <f t="shared" si="20"/>
        <v>1396000</v>
      </c>
      <c r="V20" s="26">
        <f t="shared" si="20"/>
        <v>1597000</v>
      </c>
      <c r="W20" s="45">
        <f t="shared" si="20"/>
        <v>0</v>
      </c>
      <c r="X20" s="105">
        <f t="shared" si="20"/>
        <v>1252800</v>
      </c>
      <c r="Y20" s="105">
        <f t="shared" si="20"/>
        <v>1285300</v>
      </c>
      <c r="Z20" s="573">
        <f t="shared" si="20"/>
        <v>1288300</v>
      </c>
      <c r="AA20" s="573">
        <f t="shared" si="20"/>
        <v>1288300</v>
      </c>
      <c r="AB20" s="573">
        <f t="shared" si="20"/>
        <v>1288300</v>
      </c>
      <c r="AC20" s="573">
        <f t="shared" si="20"/>
        <v>1288300</v>
      </c>
      <c r="AD20" s="573">
        <f t="shared" si="20"/>
        <v>1288300</v>
      </c>
      <c r="AE20" s="209">
        <f t="shared" si="20"/>
        <v>1315300</v>
      </c>
      <c r="AF20" s="277">
        <f t="shared" si="20"/>
        <v>3000</v>
      </c>
      <c r="AG20" s="292">
        <f t="shared" si="20"/>
        <v>0</v>
      </c>
      <c r="AH20" s="292">
        <f t="shared" si="20"/>
        <v>0</v>
      </c>
      <c r="AI20" s="244">
        <f t="shared" si="20"/>
        <v>0</v>
      </c>
      <c r="AJ20" s="227">
        <f t="shared" si="20"/>
        <v>1330000</v>
      </c>
      <c r="AK20" s="209">
        <f t="shared" si="20"/>
        <v>1224000</v>
      </c>
      <c r="AL20" s="209">
        <f t="shared" si="20"/>
        <v>594000</v>
      </c>
      <c r="AM20" s="209">
        <f t="shared" si="20"/>
        <v>1224000</v>
      </c>
      <c r="AN20" s="209">
        <f t="shared" si="20"/>
        <v>1224000</v>
      </c>
      <c r="AO20" s="209">
        <f>AO21+AO22+AO26</f>
        <v>1194000</v>
      </c>
      <c r="AP20" s="210">
        <f t="shared" si="20"/>
        <v>1206000</v>
      </c>
      <c r="AQ20" s="125">
        <f t="shared" si="20"/>
        <v>1212000</v>
      </c>
      <c r="AR20" s="209">
        <f t="shared" si="20"/>
        <v>1212000</v>
      </c>
      <c r="AS20" s="125">
        <f t="shared" si="20"/>
        <v>1332000</v>
      </c>
      <c r="AT20" s="209">
        <f t="shared" si="20"/>
        <v>1212000</v>
      </c>
      <c r="AU20" s="209">
        <f t="shared" si="20"/>
        <v>1212000</v>
      </c>
      <c r="AV20" s="304">
        <f t="shared" si="20"/>
        <v>-76300</v>
      </c>
      <c r="AW20" s="105">
        <f t="shared" si="20"/>
        <v>27000</v>
      </c>
      <c r="AX20" s="91">
        <f t="shared" si="20"/>
        <v>0</v>
      </c>
      <c r="AY20" s="227">
        <f t="shared" si="20"/>
        <v>1224000</v>
      </c>
      <c r="AZ20" s="210">
        <f t="shared" si="20"/>
        <v>1212000</v>
      </c>
      <c r="BA20" s="656">
        <f>BA21+BA22+BA26</f>
        <v>1446000</v>
      </c>
      <c r="BB20" s="621">
        <f>BB21+BB22+BB26</f>
        <v>1320000</v>
      </c>
      <c r="BC20" s="621">
        <f>BC21+BC22+BC26</f>
        <v>523735</v>
      </c>
      <c r="BD20" s="621"/>
      <c r="BE20" s="621">
        <f>BE21+BE22+BE26</f>
        <v>550000</v>
      </c>
      <c r="BF20" s="244"/>
    </row>
    <row r="21" spans="1:58" ht="15.95" customHeight="1" x14ac:dyDescent="0.15">
      <c r="A21" s="637">
        <f>A20+1</f>
        <v>13</v>
      </c>
      <c r="B21" s="10" t="s">
        <v>177</v>
      </c>
      <c r="C21" s="57"/>
      <c r="D21" s="102"/>
      <c r="E21" s="37">
        <v>874000</v>
      </c>
      <c r="F21" s="38">
        <v>0</v>
      </c>
      <c r="G21" s="38">
        <v>69920</v>
      </c>
      <c r="H21" s="38">
        <v>176700</v>
      </c>
      <c r="I21" s="38">
        <v>0</v>
      </c>
      <c r="J21" s="38">
        <v>58800</v>
      </c>
      <c r="K21" s="38">
        <v>55200</v>
      </c>
      <c r="L21" s="38">
        <v>29500</v>
      </c>
      <c r="M21" s="38">
        <v>50000</v>
      </c>
      <c r="N21" s="67">
        <v>24000</v>
      </c>
      <c r="O21" s="37">
        <v>150000</v>
      </c>
      <c r="P21" s="38">
        <v>20000</v>
      </c>
      <c r="Q21" s="38">
        <v>213000</v>
      </c>
      <c r="R21" s="85">
        <v>80000</v>
      </c>
      <c r="S21" s="76">
        <v>79000</v>
      </c>
      <c r="T21" s="38">
        <v>137000</v>
      </c>
      <c r="U21" s="38">
        <v>18000</v>
      </c>
      <c r="V21" s="36"/>
      <c r="W21" s="49"/>
      <c r="X21" s="574">
        <f>15000+36000</f>
        <v>51000</v>
      </c>
      <c r="Y21" s="574">
        <f>18000+36000</f>
        <v>54000</v>
      </c>
      <c r="Z21" s="575">
        <f>21000+36000</f>
        <v>57000</v>
      </c>
      <c r="AA21" s="575">
        <f>21000+36000</f>
        <v>57000</v>
      </c>
      <c r="AB21" s="575">
        <f>21000+36000</f>
        <v>57000</v>
      </c>
      <c r="AC21" s="575">
        <f>21000+36000</f>
        <v>57000</v>
      </c>
      <c r="AD21" s="575">
        <f>21000+36000</f>
        <v>57000</v>
      </c>
      <c r="AE21" s="211">
        <v>84000</v>
      </c>
      <c r="AF21" s="280">
        <f>Z21-Y21</f>
        <v>3000</v>
      </c>
      <c r="AG21" s="297"/>
      <c r="AH21" s="297"/>
      <c r="AI21" s="245"/>
      <c r="AJ21" s="228">
        <v>80000</v>
      </c>
      <c r="AK21" s="211">
        <v>60000</v>
      </c>
      <c r="AL21" s="211">
        <f>12000+18000</f>
        <v>30000</v>
      </c>
      <c r="AM21" s="211">
        <f>12000+18000</f>
        <v>30000</v>
      </c>
      <c r="AN21" s="211">
        <f>12000+18000</f>
        <v>30000</v>
      </c>
      <c r="AO21" s="211">
        <f>12000+18000</f>
        <v>30000</v>
      </c>
      <c r="AP21" s="212">
        <f>18000+24000</f>
        <v>42000</v>
      </c>
      <c r="AQ21" s="126">
        <f>18000+30000</f>
        <v>48000</v>
      </c>
      <c r="AR21" s="211">
        <f>18000+30000</f>
        <v>48000</v>
      </c>
      <c r="AS21" s="126">
        <f>18000+30000</f>
        <v>48000</v>
      </c>
      <c r="AT21" s="211">
        <f>18000+30000</f>
        <v>48000</v>
      </c>
      <c r="AU21" s="211">
        <f>18000+30000</f>
        <v>48000</v>
      </c>
      <c r="AV21" s="576">
        <f t="shared" ref="AV21:AV29" si="21">AT21-AC21</f>
        <v>-9000</v>
      </c>
      <c r="AW21" s="574">
        <f t="shared" ref="AW21:AW29" si="22">AE21-AD21</f>
        <v>27000</v>
      </c>
      <c r="AX21" s="92">
        <v>0</v>
      </c>
      <c r="AY21" s="228">
        <v>60000</v>
      </c>
      <c r="AZ21" s="212">
        <v>48000</v>
      </c>
      <c r="BA21" s="659">
        <v>0</v>
      </c>
      <c r="BB21" s="608">
        <v>0</v>
      </c>
      <c r="BC21" s="608">
        <v>0</v>
      </c>
      <c r="BD21" s="608"/>
      <c r="BE21" s="608">
        <v>0</v>
      </c>
      <c r="BF21" s="245"/>
    </row>
    <row r="22" spans="1:58" ht="15.95" customHeight="1" x14ac:dyDescent="0.15">
      <c r="A22" s="637">
        <f>A21+1</f>
        <v>14</v>
      </c>
      <c r="B22" s="7" t="s">
        <v>176</v>
      </c>
      <c r="C22" s="55"/>
      <c r="D22" s="129"/>
      <c r="E22" s="30">
        <f>1060000</f>
        <v>1060000</v>
      </c>
      <c r="F22" s="31">
        <v>0</v>
      </c>
      <c r="G22" s="31">
        <v>2324000</v>
      </c>
      <c r="H22" s="31">
        <v>2501800</v>
      </c>
      <c r="I22" s="31">
        <v>0</v>
      </c>
      <c r="J22" s="31">
        <v>1888685</v>
      </c>
      <c r="K22" s="31">
        <v>0</v>
      </c>
      <c r="L22" s="31">
        <v>0</v>
      </c>
      <c r="M22" s="31">
        <v>3872000</v>
      </c>
      <c r="N22" s="69">
        <v>2767000</v>
      </c>
      <c r="O22" s="30">
        <v>1904000</v>
      </c>
      <c r="P22" s="31">
        <v>2027000</v>
      </c>
      <c r="Q22" s="31">
        <v>463000</v>
      </c>
      <c r="R22" s="87">
        <v>1647000</v>
      </c>
      <c r="S22" s="78">
        <v>1932000</v>
      </c>
      <c r="T22" s="31">
        <v>1768000</v>
      </c>
      <c r="U22" s="31">
        <v>1378000</v>
      </c>
      <c r="V22" s="32">
        <v>1597000</v>
      </c>
      <c r="W22" s="50">
        <v>0</v>
      </c>
      <c r="X22" s="577">
        <v>1201800</v>
      </c>
      <c r="Y22" s="577">
        <v>1231300</v>
      </c>
      <c r="Z22" s="578">
        <v>1231300</v>
      </c>
      <c r="AA22" s="578">
        <v>1231300</v>
      </c>
      <c r="AB22" s="578">
        <v>1231300</v>
      </c>
      <c r="AC22" s="578">
        <v>1231300</v>
      </c>
      <c r="AD22" s="578">
        <v>1231300</v>
      </c>
      <c r="AE22" s="215">
        <f>SUM(AE23:AE25)</f>
        <v>1231300</v>
      </c>
      <c r="AF22" s="278">
        <f>Z22-Y22</f>
        <v>0</v>
      </c>
      <c r="AG22" s="293"/>
      <c r="AH22" s="293"/>
      <c r="AI22" s="134"/>
      <c r="AJ22" s="230">
        <f>SUM(AJ23:AJ25)</f>
        <v>1250000</v>
      </c>
      <c r="AK22" s="215">
        <v>1164000</v>
      </c>
      <c r="AL22" s="215">
        <v>564000</v>
      </c>
      <c r="AM22" s="215">
        <v>1194000</v>
      </c>
      <c r="AN22" s="215">
        <v>1194000</v>
      </c>
      <c r="AO22" s="215">
        <v>1164000</v>
      </c>
      <c r="AP22" s="216">
        <v>1164000</v>
      </c>
      <c r="AQ22" s="123">
        <v>1164000</v>
      </c>
      <c r="AR22" s="215">
        <v>1164000</v>
      </c>
      <c r="AS22" s="123">
        <v>1284000</v>
      </c>
      <c r="AT22" s="215">
        <f>AT23</f>
        <v>1164000</v>
      </c>
      <c r="AU22" s="215">
        <v>1164000</v>
      </c>
      <c r="AV22" s="579">
        <f t="shared" si="21"/>
        <v>-67300</v>
      </c>
      <c r="AW22" s="577">
        <f t="shared" si="22"/>
        <v>0</v>
      </c>
      <c r="AX22" s="94">
        <v>0</v>
      </c>
      <c r="AY22" s="230">
        <v>1164000</v>
      </c>
      <c r="AZ22" s="216">
        <v>1164000</v>
      </c>
      <c r="BA22" s="660">
        <f>SUM(BA23:BA24)</f>
        <v>1446000</v>
      </c>
      <c r="BB22" s="609">
        <f>SUM(BB23:BB24)</f>
        <v>1320000</v>
      </c>
      <c r="BC22" s="609">
        <f t="shared" ref="BC22" si="23">SUM(BC23:BC24)</f>
        <v>523735</v>
      </c>
      <c r="BD22" s="609"/>
      <c r="BE22" s="609">
        <f t="shared" ref="BE22" si="24">SUM(BE23:BE24)</f>
        <v>550000</v>
      </c>
      <c r="BF22" s="134"/>
    </row>
    <row r="23" spans="1:58" ht="13.5" customHeight="1" x14ac:dyDescent="0.15">
      <c r="A23" s="637">
        <f>A22+1</f>
        <v>15</v>
      </c>
      <c r="B23" s="8"/>
      <c r="C23" s="859" t="s">
        <v>141</v>
      </c>
      <c r="D23" s="860"/>
      <c r="E23" s="268"/>
      <c r="F23" s="269"/>
      <c r="G23" s="269"/>
      <c r="H23" s="269"/>
      <c r="I23" s="269"/>
      <c r="J23" s="269"/>
      <c r="K23" s="269"/>
      <c r="L23" s="269"/>
      <c r="M23" s="269"/>
      <c r="N23" s="270"/>
      <c r="O23" s="268"/>
      <c r="P23" s="269"/>
      <c r="Q23" s="269"/>
      <c r="R23" s="271"/>
      <c r="S23" s="272"/>
      <c r="T23" s="269"/>
      <c r="U23" s="269"/>
      <c r="V23" s="273"/>
      <c r="W23" s="274"/>
      <c r="X23" s="580"/>
      <c r="Y23" s="580"/>
      <c r="Z23" s="581"/>
      <c r="AA23" s="581"/>
      <c r="AB23" s="581"/>
      <c r="AC23" s="581"/>
      <c r="AD23" s="581"/>
      <c r="AE23" s="1256">
        <v>1201800</v>
      </c>
      <c r="AF23" s="294"/>
      <c r="AG23" s="295"/>
      <c r="AH23" s="295"/>
      <c r="AI23" s="275"/>
      <c r="AJ23" s="1258">
        <v>1200000</v>
      </c>
      <c r="AK23" s="1260">
        <v>1164000</v>
      </c>
      <c r="AL23" s="295">
        <v>0</v>
      </c>
      <c r="AM23" s="295">
        <v>0</v>
      </c>
      <c r="AN23" s="295">
        <v>0</v>
      </c>
      <c r="AO23" s="295"/>
      <c r="AP23" s="861"/>
      <c r="AQ23" s="862"/>
      <c r="AR23" s="295"/>
      <c r="AS23" s="862"/>
      <c r="AT23" s="1260">
        <v>1164000</v>
      </c>
      <c r="AU23" s="1262" t="s">
        <v>222</v>
      </c>
      <c r="AV23" s="863">
        <f t="shared" si="21"/>
        <v>1164000</v>
      </c>
      <c r="AW23" s="580">
        <f t="shared" si="22"/>
        <v>1201800</v>
      </c>
      <c r="AX23" s="864"/>
      <c r="AY23" s="865"/>
      <c r="AZ23" s="1264">
        <v>1164000</v>
      </c>
      <c r="BA23" s="867">
        <v>1058000</v>
      </c>
      <c r="BB23" s="707">
        <f>900000+100000</f>
        <v>1000000</v>
      </c>
      <c r="BC23" s="707">
        <v>523735</v>
      </c>
      <c r="BD23" s="135" t="s">
        <v>233</v>
      </c>
      <c r="BE23" s="1228">
        <v>550000</v>
      </c>
      <c r="BF23" s="275" t="s">
        <v>281</v>
      </c>
    </row>
    <row r="24" spans="1:58" ht="13.5" customHeight="1" x14ac:dyDescent="0.15">
      <c r="A24" s="637">
        <f>A23+1</f>
        <v>16</v>
      </c>
      <c r="B24" s="8"/>
      <c r="C24" s="859" t="s">
        <v>140</v>
      </c>
      <c r="D24" s="860"/>
      <c r="E24" s="268"/>
      <c r="F24" s="269"/>
      <c r="G24" s="269"/>
      <c r="H24" s="269"/>
      <c r="I24" s="269"/>
      <c r="J24" s="269"/>
      <c r="K24" s="269"/>
      <c r="L24" s="269"/>
      <c r="M24" s="269"/>
      <c r="N24" s="270"/>
      <c r="O24" s="268"/>
      <c r="P24" s="269"/>
      <c r="Q24" s="269"/>
      <c r="R24" s="271"/>
      <c r="S24" s="272"/>
      <c r="T24" s="269"/>
      <c r="U24" s="269"/>
      <c r="V24" s="273"/>
      <c r="W24" s="274"/>
      <c r="X24" s="580"/>
      <c r="Y24" s="580"/>
      <c r="Z24" s="581"/>
      <c r="AA24" s="581"/>
      <c r="AB24" s="581"/>
      <c r="AC24" s="581"/>
      <c r="AD24" s="581"/>
      <c r="AE24" s="1257"/>
      <c r="AF24" s="294"/>
      <c r="AG24" s="295"/>
      <c r="AH24" s="295"/>
      <c r="AI24" s="275"/>
      <c r="AJ24" s="1259"/>
      <c r="AK24" s="1261"/>
      <c r="AL24" s="295"/>
      <c r="AM24" s="295"/>
      <c r="AN24" s="295"/>
      <c r="AO24" s="295"/>
      <c r="AP24" s="861"/>
      <c r="AQ24" s="862"/>
      <c r="AR24" s="295"/>
      <c r="AS24" s="862"/>
      <c r="AT24" s="1261"/>
      <c r="AU24" s="1263"/>
      <c r="AV24" s="863">
        <f t="shared" si="21"/>
        <v>0</v>
      </c>
      <c r="AW24" s="580">
        <f t="shared" si="22"/>
        <v>0</v>
      </c>
      <c r="AX24" s="864"/>
      <c r="AY24" s="865"/>
      <c r="AZ24" s="1265"/>
      <c r="BA24" s="867">
        <v>388000</v>
      </c>
      <c r="BB24" s="707">
        <v>320000</v>
      </c>
      <c r="BC24" s="707">
        <v>0</v>
      </c>
      <c r="BD24" s="1229"/>
      <c r="BE24" s="707">
        <v>0</v>
      </c>
      <c r="BF24" s="275"/>
    </row>
    <row r="25" spans="1:58" ht="14.1" hidden="1" customHeight="1" x14ac:dyDescent="0.15">
      <c r="A25" s="637">
        <f>A24+1</f>
        <v>17</v>
      </c>
      <c r="B25" s="11"/>
      <c r="C25" s="868" t="s">
        <v>178</v>
      </c>
      <c r="D25" s="133"/>
      <c r="E25" s="33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122000</v>
      </c>
      <c r="N25" s="70">
        <v>395238</v>
      </c>
      <c r="O25" s="33">
        <v>541400</v>
      </c>
      <c r="P25" s="34">
        <v>147000</v>
      </c>
      <c r="Q25" s="34">
        <v>172000</v>
      </c>
      <c r="R25" s="88">
        <v>606500</v>
      </c>
      <c r="S25" s="79">
        <v>95000</v>
      </c>
      <c r="T25" s="34">
        <v>78000</v>
      </c>
      <c r="U25" s="34">
        <v>57000</v>
      </c>
      <c r="V25" s="35">
        <v>0</v>
      </c>
      <c r="W25" s="48">
        <v>10000</v>
      </c>
      <c r="X25" s="582">
        <v>0</v>
      </c>
      <c r="Y25" s="582">
        <v>0</v>
      </c>
      <c r="Z25" s="583">
        <v>0</v>
      </c>
      <c r="AA25" s="583">
        <v>0</v>
      </c>
      <c r="AB25" s="583">
        <v>0</v>
      </c>
      <c r="AC25" s="583">
        <v>0</v>
      </c>
      <c r="AD25" s="583">
        <v>0</v>
      </c>
      <c r="AE25" s="217">
        <v>29500</v>
      </c>
      <c r="AF25" s="279">
        <f>Z25-Y25</f>
        <v>0</v>
      </c>
      <c r="AG25" s="296"/>
      <c r="AH25" s="296"/>
      <c r="AI25" s="247"/>
      <c r="AJ25" s="231">
        <v>50000</v>
      </c>
      <c r="AK25" s="217">
        <v>0</v>
      </c>
      <c r="AL25" s="217">
        <v>0</v>
      </c>
      <c r="AM25" s="217">
        <v>0</v>
      </c>
      <c r="AN25" s="217">
        <v>0</v>
      </c>
      <c r="AO25" s="217">
        <v>0</v>
      </c>
      <c r="AP25" s="869">
        <v>0</v>
      </c>
      <c r="AQ25" s="870">
        <v>0</v>
      </c>
      <c r="AR25" s="217">
        <v>0</v>
      </c>
      <c r="AS25" s="870">
        <v>0</v>
      </c>
      <c r="AT25" s="217">
        <v>0</v>
      </c>
      <c r="AU25" s="217">
        <v>0</v>
      </c>
      <c r="AV25" s="871">
        <f t="shared" si="21"/>
        <v>0</v>
      </c>
      <c r="AW25" s="582">
        <f t="shared" si="22"/>
        <v>29500</v>
      </c>
      <c r="AX25" s="872">
        <v>0</v>
      </c>
      <c r="AY25" s="231">
        <v>0</v>
      </c>
      <c r="AZ25" s="869">
        <f>ROUND(AV25+AY25,-3)</f>
        <v>0</v>
      </c>
      <c r="BA25" s="655">
        <v>0</v>
      </c>
      <c r="BB25" s="605">
        <v>0</v>
      </c>
      <c r="BC25" s="605">
        <v>0</v>
      </c>
      <c r="BD25" s="605"/>
      <c r="BE25" s="605">
        <v>0</v>
      </c>
      <c r="BF25" s="247"/>
    </row>
    <row r="26" spans="1:58" ht="13.5" hidden="1" customHeight="1" thickBot="1" x14ac:dyDescent="0.2">
      <c r="A26" s="637"/>
      <c r="B26" s="10" t="s">
        <v>61</v>
      </c>
      <c r="C26" s="57"/>
      <c r="D26" s="102"/>
      <c r="E26" s="37">
        <v>0</v>
      </c>
      <c r="F26" s="38">
        <v>0</v>
      </c>
      <c r="G26" s="38">
        <v>0</v>
      </c>
      <c r="H26" s="38">
        <v>14100</v>
      </c>
      <c r="I26" s="38">
        <v>0</v>
      </c>
      <c r="J26" s="38">
        <v>69500</v>
      </c>
      <c r="K26" s="38">
        <v>20000</v>
      </c>
      <c r="L26" s="38">
        <v>56000</v>
      </c>
      <c r="M26" s="38">
        <v>88000</v>
      </c>
      <c r="N26" s="67">
        <v>124000</v>
      </c>
      <c r="O26" s="37">
        <v>119310</v>
      </c>
      <c r="P26" s="38">
        <v>5000</v>
      </c>
      <c r="Q26" s="38">
        <v>60350</v>
      </c>
      <c r="R26" s="85">
        <v>37500</v>
      </c>
      <c r="S26" s="76">
        <v>0</v>
      </c>
      <c r="T26" s="38">
        <v>0</v>
      </c>
      <c r="U26" s="38">
        <v>0</v>
      </c>
      <c r="V26" s="308"/>
      <c r="W26" s="309"/>
      <c r="X26" s="584"/>
      <c r="Y26" s="584"/>
      <c r="Z26" s="585"/>
      <c r="AA26" s="585"/>
      <c r="AB26" s="585"/>
      <c r="AC26" s="585"/>
      <c r="AD26" s="585"/>
      <c r="AE26" s="211"/>
      <c r="AF26" s="280">
        <f>Z26-Y26</f>
        <v>0</v>
      </c>
      <c r="AG26" s="297"/>
      <c r="AH26" s="297"/>
      <c r="AI26" s="245"/>
      <c r="AJ26" s="228"/>
      <c r="AK26" s="211">
        <v>0</v>
      </c>
      <c r="AL26" s="211">
        <v>0</v>
      </c>
      <c r="AM26" s="211">
        <v>0</v>
      </c>
      <c r="AN26" s="211">
        <v>0</v>
      </c>
      <c r="AO26" s="211">
        <v>0</v>
      </c>
      <c r="AP26" s="212"/>
      <c r="AQ26" s="126"/>
      <c r="AR26" s="211"/>
      <c r="AS26" s="126"/>
      <c r="AT26" s="211"/>
      <c r="AU26" s="211"/>
      <c r="AV26" s="576">
        <f t="shared" si="21"/>
        <v>0</v>
      </c>
      <c r="AW26" s="574">
        <f t="shared" si="22"/>
        <v>0</v>
      </c>
      <c r="AX26" s="92">
        <v>0</v>
      </c>
      <c r="AY26" s="228">
        <v>0</v>
      </c>
      <c r="AZ26" s="212">
        <f>ROUND(AV26+AY26,-3)</f>
        <v>0</v>
      </c>
      <c r="BA26" s="873">
        <v>0</v>
      </c>
      <c r="BB26" s="708">
        <v>0</v>
      </c>
      <c r="BC26" s="708">
        <v>0</v>
      </c>
      <c r="BD26" s="708"/>
      <c r="BE26" s="708">
        <v>0</v>
      </c>
      <c r="BF26" s="245"/>
    </row>
    <row r="27" spans="1:58" ht="16.899999999999999" customHeight="1" thickBot="1" x14ac:dyDescent="0.2">
      <c r="A27" s="637">
        <v>17</v>
      </c>
      <c r="B27" s="6" t="s">
        <v>272</v>
      </c>
      <c r="C27" s="53"/>
      <c r="D27" s="131"/>
      <c r="E27" s="24">
        <f t="shared" ref="E27:AC27" si="25">SUM(E28:E29)</f>
        <v>0</v>
      </c>
      <c r="F27" s="25">
        <f t="shared" si="25"/>
        <v>0</v>
      </c>
      <c r="G27" s="25">
        <f t="shared" si="25"/>
        <v>3977</v>
      </c>
      <c r="H27" s="25">
        <f t="shared" si="25"/>
        <v>69</v>
      </c>
      <c r="I27" s="25">
        <f t="shared" si="25"/>
        <v>0</v>
      </c>
      <c r="J27" s="25">
        <f t="shared" si="25"/>
        <v>91</v>
      </c>
      <c r="K27" s="25">
        <f t="shared" si="25"/>
        <v>95</v>
      </c>
      <c r="L27" s="25">
        <f t="shared" si="25"/>
        <v>6</v>
      </c>
      <c r="M27" s="25">
        <f t="shared" si="25"/>
        <v>1894</v>
      </c>
      <c r="N27" s="66">
        <f t="shared" si="25"/>
        <v>16497</v>
      </c>
      <c r="O27" s="24">
        <f t="shared" si="25"/>
        <v>851</v>
      </c>
      <c r="P27" s="25">
        <f t="shared" si="25"/>
        <v>49330</v>
      </c>
      <c r="Q27" s="25">
        <f t="shared" si="25"/>
        <v>17037</v>
      </c>
      <c r="R27" s="84">
        <f t="shared" si="25"/>
        <v>107256</v>
      </c>
      <c r="S27" s="75">
        <f t="shared" si="25"/>
        <v>750</v>
      </c>
      <c r="T27" s="25">
        <f t="shared" si="25"/>
        <v>152</v>
      </c>
      <c r="U27" s="25">
        <f t="shared" si="25"/>
        <v>44427</v>
      </c>
      <c r="V27" s="26">
        <f t="shared" si="25"/>
        <v>53065</v>
      </c>
      <c r="W27" s="45">
        <f t="shared" si="25"/>
        <v>111530</v>
      </c>
      <c r="X27" s="105">
        <f t="shared" si="25"/>
        <v>60295</v>
      </c>
      <c r="Y27" s="105">
        <f t="shared" si="25"/>
        <v>21</v>
      </c>
      <c r="Z27" s="573">
        <f t="shared" si="25"/>
        <v>21</v>
      </c>
      <c r="AA27" s="573">
        <f t="shared" si="25"/>
        <v>21</v>
      </c>
      <c r="AB27" s="573">
        <f t="shared" si="25"/>
        <v>21</v>
      </c>
      <c r="AC27" s="573">
        <f t="shared" si="25"/>
        <v>21</v>
      </c>
      <c r="AD27" s="573">
        <f>SUM(AD28:AD29)</f>
        <v>37</v>
      </c>
      <c r="AE27" s="209">
        <f>SUM(AE28:AE29)</f>
        <v>60295</v>
      </c>
      <c r="AF27" s="277">
        <f>Z27-Y27</f>
        <v>0</v>
      </c>
      <c r="AG27" s="292"/>
      <c r="AH27" s="292"/>
      <c r="AI27" s="244"/>
      <c r="AJ27" s="227">
        <f>SUM(AJ28:AJ29)</f>
        <v>0</v>
      </c>
      <c r="AK27" s="209">
        <v>0</v>
      </c>
      <c r="AL27" s="209">
        <f t="shared" ref="AL27:AT27" si="26">SUM(AL28:AL29)</f>
        <v>0</v>
      </c>
      <c r="AM27" s="209">
        <f t="shared" si="26"/>
        <v>0</v>
      </c>
      <c r="AN27" s="209">
        <f t="shared" si="26"/>
        <v>0</v>
      </c>
      <c r="AO27" s="209">
        <f>SUM(AO28:AO29)</f>
        <v>0</v>
      </c>
      <c r="AP27" s="210">
        <f t="shared" si="26"/>
        <v>6</v>
      </c>
      <c r="AQ27" s="125">
        <f t="shared" si="26"/>
        <v>6</v>
      </c>
      <c r="AR27" s="209">
        <f t="shared" si="26"/>
        <v>6</v>
      </c>
      <c r="AS27" s="125">
        <f t="shared" si="26"/>
        <v>6</v>
      </c>
      <c r="AT27" s="209">
        <f t="shared" si="26"/>
        <v>8</v>
      </c>
      <c r="AU27" s="209">
        <f>SUM(AU28:AU29)</f>
        <v>40</v>
      </c>
      <c r="AV27" s="304">
        <f t="shared" si="21"/>
        <v>-13</v>
      </c>
      <c r="AW27" s="105">
        <f t="shared" si="22"/>
        <v>60258</v>
      </c>
      <c r="AX27" s="91">
        <f>SUM(AX28:AX29)</f>
        <v>0</v>
      </c>
      <c r="AY27" s="227">
        <v>0</v>
      </c>
      <c r="AZ27" s="210">
        <v>20</v>
      </c>
      <c r="BA27" s="656">
        <v>21</v>
      </c>
      <c r="BB27" s="678">
        <v>0</v>
      </c>
      <c r="BC27" s="678">
        <v>32</v>
      </c>
      <c r="BD27" s="678"/>
      <c r="BE27" s="678">
        <v>0</v>
      </c>
      <c r="BF27" s="244"/>
    </row>
    <row r="28" spans="1:58" ht="17.100000000000001" hidden="1" customHeight="1" thickBot="1" x14ac:dyDescent="0.2">
      <c r="A28" s="637">
        <f>A27+1</f>
        <v>18</v>
      </c>
      <c r="B28" s="1" t="s">
        <v>160</v>
      </c>
      <c r="C28" s="52"/>
      <c r="D28" s="130"/>
      <c r="E28" s="21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1029</v>
      </c>
      <c r="N28" s="65">
        <v>60</v>
      </c>
      <c r="O28" s="21">
        <v>0</v>
      </c>
      <c r="P28" s="22">
        <v>48940</v>
      </c>
      <c r="Q28" s="22">
        <v>0</v>
      </c>
      <c r="R28" s="83">
        <v>256</v>
      </c>
      <c r="S28" s="74">
        <v>630</v>
      </c>
      <c r="T28" s="22">
        <v>0</v>
      </c>
      <c r="U28" s="22">
        <v>0</v>
      </c>
      <c r="V28" s="23">
        <v>0</v>
      </c>
      <c r="W28" s="43">
        <v>111523</v>
      </c>
      <c r="X28" s="571">
        <v>0</v>
      </c>
      <c r="Y28" s="571">
        <v>0</v>
      </c>
      <c r="Z28" s="572">
        <v>0</v>
      </c>
      <c r="AA28" s="572">
        <v>0</v>
      </c>
      <c r="AB28" s="572">
        <v>0</v>
      </c>
      <c r="AC28" s="572">
        <v>0</v>
      </c>
      <c r="AD28" s="572">
        <v>0</v>
      </c>
      <c r="AE28" s="207">
        <v>0</v>
      </c>
      <c r="AF28" s="276">
        <f>Z28-Y28</f>
        <v>0</v>
      </c>
      <c r="AG28" s="135"/>
      <c r="AH28" s="135"/>
      <c r="AI28" s="243"/>
      <c r="AJ28" s="226">
        <v>0</v>
      </c>
      <c r="AK28" s="207">
        <v>0</v>
      </c>
      <c r="AL28" s="207">
        <v>0</v>
      </c>
      <c r="AM28" s="207">
        <v>0</v>
      </c>
      <c r="AN28" s="207">
        <v>0</v>
      </c>
      <c r="AO28" s="207">
        <v>0</v>
      </c>
      <c r="AP28" s="208">
        <v>0</v>
      </c>
      <c r="AQ28" s="124">
        <v>0</v>
      </c>
      <c r="AR28" s="207">
        <v>0</v>
      </c>
      <c r="AS28" s="124">
        <v>0</v>
      </c>
      <c r="AT28" s="207">
        <v>0</v>
      </c>
      <c r="AU28" s="207">
        <v>0</v>
      </c>
      <c r="AV28" s="303">
        <f t="shared" si="21"/>
        <v>0</v>
      </c>
      <c r="AW28" s="571">
        <f t="shared" si="22"/>
        <v>0</v>
      </c>
      <c r="AX28" s="90">
        <v>0</v>
      </c>
      <c r="AY28" s="226">
        <v>0</v>
      </c>
      <c r="AZ28" s="208">
        <f>ROUND(AV28+AY28,-3)</f>
        <v>0</v>
      </c>
      <c r="BA28" s="658">
        <v>0</v>
      </c>
      <c r="BB28" s="607">
        <v>0</v>
      </c>
      <c r="BC28" s="607"/>
      <c r="BD28" s="691"/>
      <c r="BE28" s="691"/>
      <c r="BF28" s="243"/>
    </row>
    <row r="29" spans="1:58" ht="17.100000000000001" hidden="1" customHeight="1" x14ac:dyDescent="0.15">
      <c r="A29" s="637">
        <f>A28+1</f>
        <v>19</v>
      </c>
      <c r="B29" s="2" t="s">
        <v>161</v>
      </c>
      <c r="C29" s="54"/>
      <c r="D29" s="132"/>
      <c r="E29" s="27">
        <v>0</v>
      </c>
      <c r="F29" s="28">
        <v>0</v>
      </c>
      <c r="G29" s="28">
        <v>3977</v>
      </c>
      <c r="H29" s="28">
        <v>69</v>
      </c>
      <c r="I29" s="28">
        <v>0</v>
      </c>
      <c r="J29" s="28">
        <v>91</v>
      </c>
      <c r="K29" s="28">
        <v>95</v>
      </c>
      <c r="L29" s="28">
        <v>6</v>
      </c>
      <c r="M29" s="28">
        <v>865</v>
      </c>
      <c r="N29" s="68">
        <v>16437</v>
      </c>
      <c r="O29" s="27">
        <v>851</v>
      </c>
      <c r="P29" s="28">
        <v>390</v>
      </c>
      <c r="Q29" s="28">
        <v>17037</v>
      </c>
      <c r="R29" s="86">
        <v>107000</v>
      </c>
      <c r="S29" s="77">
        <v>120</v>
      </c>
      <c r="T29" s="28">
        <v>152</v>
      </c>
      <c r="U29" s="28">
        <v>44427</v>
      </c>
      <c r="V29" s="29">
        <v>53065</v>
      </c>
      <c r="W29" s="46">
        <v>7</v>
      </c>
      <c r="X29" s="586">
        <v>60295</v>
      </c>
      <c r="Y29" s="586">
        <v>21</v>
      </c>
      <c r="Z29" s="587">
        <v>21</v>
      </c>
      <c r="AA29" s="587">
        <v>21</v>
      </c>
      <c r="AB29" s="587">
        <v>21</v>
      </c>
      <c r="AC29" s="587">
        <v>21</v>
      </c>
      <c r="AD29" s="587">
        <v>37</v>
      </c>
      <c r="AE29" s="213">
        <v>60295</v>
      </c>
      <c r="AF29" s="281">
        <f>Z29-Y29</f>
        <v>0</v>
      </c>
      <c r="AG29" s="160"/>
      <c r="AH29" s="160"/>
      <c r="AI29" s="246"/>
      <c r="AJ29" s="229">
        <v>0</v>
      </c>
      <c r="AK29" s="213">
        <v>0</v>
      </c>
      <c r="AL29" s="213">
        <v>0</v>
      </c>
      <c r="AM29" s="213">
        <v>0</v>
      </c>
      <c r="AN29" s="213">
        <v>0</v>
      </c>
      <c r="AO29" s="213">
        <v>0</v>
      </c>
      <c r="AP29" s="214">
        <v>6</v>
      </c>
      <c r="AQ29" s="127">
        <v>6</v>
      </c>
      <c r="AR29" s="213">
        <v>6</v>
      </c>
      <c r="AS29" s="127">
        <v>6</v>
      </c>
      <c r="AT29" s="213">
        <v>8</v>
      </c>
      <c r="AU29" s="213">
        <v>40</v>
      </c>
      <c r="AV29" s="305">
        <f t="shared" si="21"/>
        <v>-13</v>
      </c>
      <c r="AW29" s="586">
        <f t="shared" si="22"/>
        <v>60258</v>
      </c>
      <c r="AX29" s="93">
        <v>0</v>
      </c>
      <c r="AY29" s="229">
        <v>0</v>
      </c>
      <c r="AZ29" s="214">
        <f>ROUND(AV29+AY29,-3)</f>
        <v>0</v>
      </c>
      <c r="BA29" s="874">
        <v>0</v>
      </c>
      <c r="BB29" s="709">
        <v>0</v>
      </c>
      <c r="BC29" s="709"/>
      <c r="BD29" s="710"/>
      <c r="BE29" s="710"/>
      <c r="BF29" s="246"/>
    </row>
    <row r="30" spans="1:58" ht="22.9" customHeight="1" x14ac:dyDescent="0.15">
      <c r="A30" s="637">
        <v>18</v>
      </c>
      <c r="B30" s="1267" t="s">
        <v>164</v>
      </c>
      <c r="C30" s="1268"/>
      <c r="D30" s="1269"/>
      <c r="E30" s="455">
        <f t="shared" ref="E30:AJ30" si="27">E31+E102</f>
        <v>7608504</v>
      </c>
      <c r="F30" s="310">
        <f t="shared" si="27"/>
        <v>0</v>
      </c>
      <c r="G30" s="310">
        <f t="shared" si="27"/>
        <v>8035090</v>
      </c>
      <c r="H30" s="310">
        <f t="shared" si="27"/>
        <v>5407062</v>
      </c>
      <c r="I30" s="310">
        <f t="shared" si="27"/>
        <v>0</v>
      </c>
      <c r="J30" s="310">
        <f t="shared" si="27"/>
        <v>9088110</v>
      </c>
      <c r="K30" s="310">
        <f t="shared" si="27"/>
        <v>8945876</v>
      </c>
      <c r="L30" s="310">
        <f t="shared" si="27"/>
        <v>8852845</v>
      </c>
      <c r="M30" s="310">
        <f t="shared" si="27"/>
        <v>13084954</v>
      </c>
      <c r="N30" s="311">
        <f t="shared" si="27"/>
        <v>10610117</v>
      </c>
      <c r="O30" s="312">
        <f t="shared" si="27"/>
        <v>9708218</v>
      </c>
      <c r="P30" s="313">
        <f t="shared" si="27"/>
        <v>9281557</v>
      </c>
      <c r="Q30" s="313">
        <f t="shared" si="27"/>
        <v>8678286</v>
      </c>
      <c r="R30" s="314">
        <f t="shared" si="27"/>
        <v>9110619</v>
      </c>
      <c r="S30" s="315">
        <f t="shared" si="27"/>
        <v>7899277</v>
      </c>
      <c r="T30" s="310">
        <f t="shared" si="27"/>
        <v>8481959</v>
      </c>
      <c r="U30" s="310">
        <f t="shared" si="27"/>
        <v>9424169</v>
      </c>
      <c r="V30" s="316">
        <f t="shared" si="27"/>
        <v>9993381</v>
      </c>
      <c r="W30" s="317">
        <f t="shared" si="27"/>
        <v>6037800</v>
      </c>
      <c r="X30" s="310">
        <f t="shared" si="27"/>
        <v>5676630</v>
      </c>
      <c r="Y30" s="310">
        <f t="shared" si="27"/>
        <v>6126857</v>
      </c>
      <c r="Z30" s="311">
        <f t="shared" si="27"/>
        <v>6923110</v>
      </c>
      <c r="AA30" s="311">
        <f t="shared" si="27"/>
        <v>7056165</v>
      </c>
      <c r="AB30" s="311">
        <f t="shared" si="27"/>
        <v>7543716</v>
      </c>
      <c r="AC30" s="311">
        <f t="shared" si="27"/>
        <v>7909510</v>
      </c>
      <c r="AD30" s="311">
        <f t="shared" si="27"/>
        <v>7909510</v>
      </c>
      <c r="AE30" s="318">
        <f t="shared" si="27"/>
        <v>9359554</v>
      </c>
      <c r="AF30" s="319">
        <f t="shared" si="27"/>
        <v>796253</v>
      </c>
      <c r="AG30" s="320">
        <f t="shared" si="27"/>
        <v>0</v>
      </c>
      <c r="AH30" s="320">
        <f t="shared" si="27"/>
        <v>0</v>
      </c>
      <c r="AI30" s="321">
        <f t="shared" si="27"/>
        <v>0</v>
      </c>
      <c r="AJ30" s="322">
        <f t="shared" si="27"/>
        <v>7280000</v>
      </c>
      <c r="AK30" s="318">
        <f>AK31+AK102+AK130</f>
        <v>7365000</v>
      </c>
      <c r="AL30" s="318">
        <f t="shared" ref="AL30:AY30" si="28">AL31+AL102</f>
        <v>1995643</v>
      </c>
      <c r="AM30" s="318">
        <f t="shared" si="28"/>
        <v>2468110</v>
      </c>
      <c r="AN30" s="318">
        <f t="shared" si="28"/>
        <v>2585524</v>
      </c>
      <c r="AO30" s="318">
        <f t="shared" si="28"/>
        <v>2466137</v>
      </c>
      <c r="AP30" s="323">
        <f t="shared" si="28"/>
        <v>4105485</v>
      </c>
      <c r="AQ30" s="324">
        <f t="shared" si="28"/>
        <v>5005569</v>
      </c>
      <c r="AR30" s="318">
        <f t="shared" si="28"/>
        <v>5004399</v>
      </c>
      <c r="AS30" s="324">
        <f t="shared" si="28"/>
        <v>5162195</v>
      </c>
      <c r="AT30" s="318">
        <f t="shared" si="28"/>
        <v>5534327</v>
      </c>
      <c r="AU30" s="318">
        <f t="shared" si="28"/>
        <v>5538796</v>
      </c>
      <c r="AV30" s="588">
        <f t="shared" si="28"/>
        <v>-2433130</v>
      </c>
      <c r="AW30" s="310">
        <f t="shared" si="28"/>
        <v>1279826</v>
      </c>
      <c r="AX30" s="325">
        <f t="shared" si="28"/>
        <v>1510400</v>
      </c>
      <c r="AY30" s="322">
        <f t="shared" si="28"/>
        <v>6774000</v>
      </c>
      <c r="AZ30" s="323">
        <f>AZ31+AZ102+AZ130</f>
        <v>6681859</v>
      </c>
      <c r="BA30" s="661">
        <f>BA31+BA102+BA131</f>
        <v>6188615</v>
      </c>
      <c r="BB30" s="622">
        <f>BB31+BB102+BB131</f>
        <v>7168000</v>
      </c>
      <c r="BC30" s="622">
        <f>BC31+BC102+BC131</f>
        <v>2546119</v>
      </c>
      <c r="BD30" s="622"/>
      <c r="BE30" s="622">
        <f>BE31+BE102+BE131</f>
        <v>6381000</v>
      </c>
      <c r="BF30" s="875"/>
    </row>
    <row r="31" spans="1:58" ht="16.899999999999999" customHeight="1" x14ac:dyDescent="0.15">
      <c r="A31" s="637">
        <f>A30+1</f>
        <v>19</v>
      </c>
      <c r="B31" s="876" t="s">
        <v>165</v>
      </c>
      <c r="C31" s="326"/>
      <c r="D31" s="327"/>
      <c r="E31" s="456">
        <f t="shared" ref="E31:AZ31" si="29">E32+E41</f>
        <v>7335693</v>
      </c>
      <c r="F31" s="328">
        <f t="shared" si="29"/>
        <v>0</v>
      </c>
      <c r="G31" s="328">
        <f t="shared" si="29"/>
        <v>7540540</v>
      </c>
      <c r="H31" s="328">
        <f t="shared" si="29"/>
        <v>4904409</v>
      </c>
      <c r="I31" s="328">
        <f t="shared" si="29"/>
        <v>0</v>
      </c>
      <c r="J31" s="328">
        <f t="shared" si="29"/>
        <v>7710099</v>
      </c>
      <c r="K31" s="328">
        <f t="shared" si="29"/>
        <v>8865876</v>
      </c>
      <c r="L31" s="328">
        <f t="shared" si="29"/>
        <v>8348845</v>
      </c>
      <c r="M31" s="328">
        <f t="shared" si="29"/>
        <v>12117294</v>
      </c>
      <c r="N31" s="329">
        <f t="shared" si="29"/>
        <v>9659072</v>
      </c>
      <c r="O31" s="330">
        <f t="shared" si="29"/>
        <v>9033538</v>
      </c>
      <c r="P31" s="331">
        <f t="shared" si="29"/>
        <v>8787557</v>
      </c>
      <c r="Q31" s="331">
        <f t="shared" si="29"/>
        <v>8118286</v>
      </c>
      <c r="R31" s="332">
        <f t="shared" si="29"/>
        <v>8422630</v>
      </c>
      <c r="S31" s="333">
        <f t="shared" si="29"/>
        <v>7392787</v>
      </c>
      <c r="T31" s="328">
        <f t="shared" si="29"/>
        <v>8209839</v>
      </c>
      <c r="U31" s="328">
        <f t="shared" si="29"/>
        <v>7824099</v>
      </c>
      <c r="V31" s="334">
        <f t="shared" si="29"/>
        <v>7783503</v>
      </c>
      <c r="W31" s="335">
        <f t="shared" si="29"/>
        <v>4805557</v>
      </c>
      <c r="X31" s="328">
        <f t="shared" si="29"/>
        <v>5198489</v>
      </c>
      <c r="Y31" s="328">
        <f t="shared" si="29"/>
        <v>5519956</v>
      </c>
      <c r="Z31" s="329">
        <f t="shared" si="29"/>
        <v>6233828</v>
      </c>
      <c r="AA31" s="329">
        <f t="shared" si="29"/>
        <v>6290425</v>
      </c>
      <c r="AB31" s="329">
        <f t="shared" si="29"/>
        <v>6459730</v>
      </c>
      <c r="AC31" s="329">
        <f t="shared" si="29"/>
        <v>6852366</v>
      </c>
      <c r="AD31" s="329">
        <f t="shared" si="29"/>
        <v>6852366</v>
      </c>
      <c r="AE31" s="336">
        <f t="shared" si="29"/>
        <v>8157142</v>
      </c>
      <c r="AF31" s="337">
        <f t="shared" si="29"/>
        <v>713872</v>
      </c>
      <c r="AG31" s="338">
        <f t="shared" si="29"/>
        <v>0</v>
      </c>
      <c r="AH31" s="338">
        <f t="shared" si="29"/>
        <v>0</v>
      </c>
      <c r="AI31" s="339">
        <f t="shared" si="29"/>
        <v>0</v>
      </c>
      <c r="AJ31" s="340">
        <f t="shared" si="29"/>
        <v>6480000</v>
      </c>
      <c r="AK31" s="336">
        <f t="shared" si="29"/>
        <v>5982000</v>
      </c>
      <c r="AL31" s="336">
        <f t="shared" si="29"/>
        <v>1608401</v>
      </c>
      <c r="AM31" s="336">
        <f t="shared" si="29"/>
        <v>2073466</v>
      </c>
      <c r="AN31" s="336">
        <f t="shared" si="29"/>
        <v>2190880</v>
      </c>
      <c r="AO31" s="336">
        <f>AO32+AO41</f>
        <v>2140591</v>
      </c>
      <c r="AP31" s="341">
        <f t="shared" si="29"/>
        <v>3529549</v>
      </c>
      <c r="AQ31" s="342">
        <f t="shared" si="29"/>
        <v>4140513</v>
      </c>
      <c r="AR31" s="336">
        <f t="shared" si="29"/>
        <v>4152233</v>
      </c>
      <c r="AS31" s="342">
        <f t="shared" si="29"/>
        <v>4283289</v>
      </c>
      <c r="AT31" s="336">
        <f t="shared" si="29"/>
        <v>4496384</v>
      </c>
      <c r="AU31" s="336">
        <f t="shared" si="29"/>
        <v>4500853</v>
      </c>
      <c r="AV31" s="457">
        <f t="shared" si="29"/>
        <v>-2327492</v>
      </c>
      <c r="AW31" s="328">
        <f t="shared" si="29"/>
        <v>1222336</v>
      </c>
      <c r="AX31" s="343">
        <f t="shared" si="29"/>
        <v>1124400</v>
      </c>
      <c r="AY31" s="340">
        <f t="shared" si="29"/>
        <v>5608000</v>
      </c>
      <c r="AZ31" s="341">
        <f t="shared" si="29"/>
        <v>5584682</v>
      </c>
      <c r="BA31" s="662">
        <f>BA32+BA41</f>
        <v>5423260</v>
      </c>
      <c r="BB31" s="623">
        <f>BB32+BB41</f>
        <v>5913000</v>
      </c>
      <c r="BC31" s="623">
        <f>BC32+BC41</f>
        <v>2226649</v>
      </c>
      <c r="BD31" s="623"/>
      <c r="BE31" s="623">
        <f>BE32+BE41</f>
        <v>5391000</v>
      </c>
      <c r="BF31" s="877"/>
    </row>
    <row r="32" spans="1:58" ht="16.5" customHeight="1" x14ac:dyDescent="0.15">
      <c r="A32" s="637">
        <f>A31+1</f>
        <v>20</v>
      </c>
      <c r="B32" s="878" t="s">
        <v>166</v>
      </c>
      <c r="C32" s="521"/>
      <c r="D32" s="522"/>
      <c r="E32" s="523">
        <f>E34</f>
        <v>960000</v>
      </c>
      <c r="F32" s="524">
        <f t="shared" ref="F32:AZ32" si="30">F34</f>
        <v>0</v>
      </c>
      <c r="G32" s="524">
        <f t="shared" si="30"/>
        <v>968400</v>
      </c>
      <c r="H32" s="524">
        <f t="shared" si="30"/>
        <v>1480000</v>
      </c>
      <c r="I32" s="524">
        <f t="shared" si="30"/>
        <v>0</v>
      </c>
      <c r="J32" s="524">
        <f t="shared" si="30"/>
        <v>2300000</v>
      </c>
      <c r="K32" s="524">
        <f t="shared" si="30"/>
        <v>3000000</v>
      </c>
      <c r="L32" s="524">
        <f t="shared" si="30"/>
        <v>4090000</v>
      </c>
      <c r="M32" s="524">
        <f t="shared" si="30"/>
        <v>3000000</v>
      </c>
      <c r="N32" s="525">
        <f t="shared" si="30"/>
        <v>2600000</v>
      </c>
      <c r="O32" s="526">
        <f t="shared" si="30"/>
        <v>1600000</v>
      </c>
      <c r="P32" s="527">
        <f t="shared" si="30"/>
        <v>1600000</v>
      </c>
      <c r="Q32" s="527">
        <f t="shared" si="30"/>
        <v>1600000</v>
      </c>
      <c r="R32" s="528">
        <f t="shared" si="30"/>
        <v>2000000</v>
      </c>
      <c r="S32" s="529">
        <f t="shared" si="30"/>
        <v>2000000</v>
      </c>
      <c r="T32" s="524">
        <f t="shared" si="30"/>
        <v>1700000</v>
      </c>
      <c r="U32" s="524">
        <f t="shared" si="30"/>
        <v>1999700</v>
      </c>
      <c r="V32" s="530">
        <f t="shared" si="30"/>
        <v>1606000</v>
      </c>
      <c r="W32" s="531">
        <f t="shared" si="30"/>
        <v>955090</v>
      </c>
      <c r="X32" s="524">
        <f t="shared" si="30"/>
        <v>1138750</v>
      </c>
      <c r="Y32" s="524">
        <f t="shared" si="30"/>
        <v>1286000</v>
      </c>
      <c r="Z32" s="525">
        <f t="shared" si="30"/>
        <v>1334250</v>
      </c>
      <c r="AA32" s="525">
        <f t="shared" si="30"/>
        <v>1383750</v>
      </c>
      <c r="AB32" s="525">
        <f t="shared" si="30"/>
        <v>1439750</v>
      </c>
      <c r="AC32" s="525">
        <f t="shared" si="30"/>
        <v>1512000</v>
      </c>
      <c r="AD32" s="525">
        <f t="shared" si="30"/>
        <v>1512000</v>
      </c>
      <c r="AE32" s="532">
        <f t="shared" si="30"/>
        <v>1286250</v>
      </c>
      <c r="AF32" s="533">
        <f t="shared" si="30"/>
        <v>48250</v>
      </c>
      <c r="AG32" s="534">
        <f t="shared" si="30"/>
        <v>0</v>
      </c>
      <c r="AH32" s="534">
        <f t="shared" si="30"/>
        <v>0</v>
      </c>
      <c r="AI32" s="535">
        <f t="shared" si="30"/>
        <v>0</v>
      </c>
      <c r="AJ32" s="536">
        <f t="shared" si="30"/>
        <v>1500000</v>
      </c>
      <c r="AK32" s="532">
        <f t="shared" si="30"/>
        <v>1022000</v>
      </c>
      <c r="AL32" s="532">
        <f t="shared" si="30"/>
        <v>300750</v>
      </c>
      <c r="AM32" s="532">
        <f t="shared" si="30"/>
        <v>422250</v>
      </c>
      <c r="AN32" s="532">
        <f t="shared" si="30"/>
        <v>528000</v>
      </c>
      <c r="AO32" s="532">
        <f>AO34</f>
        <v>422250</v>
      </c>
      <c r="AP32" s="537">
        <f t="shared" si="30"/>
        <v>539500</v>
      </c>
      <c r="AQ32" s="538">
        <f t="shared" si="30"/>
        <v>695500</v>
      </c>
      <c r="AR32" s="532">
        <f t="shared" si="30"/>
        <v>705500</v>
      </c>
      <c r="AS32" s="538">
        <f t="shared" si="30"/>
        <v>819000</v>
      </c>
      <c r="AT32" s="532">
        <f t="shared" si="30"/>
        <v>728500</v>
      </c>
      <c r="AU32" s="532">
        <f t="shared" si="30"/>
        <v>728500</v>
      </c>
      <c r="AV32" s="539">
        <f t="shared" si="30"/>
        <v>-783500</v>
      </c>
      <c r="AW32" s="524">
        <f t="shared" si="30"/>
        <v>-225750</v>
      </c>
      <c r="AX32" s="540">
        <f t="shared" si="30"/>
        <v>450000</v>
      </c>
      <c r="AY32" s="536">
        <f t="shared" si="30"/>
        <v>1022000</v>
      </c>
      <c r="AZ32" s="537">
        <f t="shared" si="30"/>
        <v>942750</v>
      </c>
      <c r="BA32" s="663">
        <f>BA34</f>
        <v>816240</v>
      </c>
      <c r="BB32" s="625">
        <f>BB34</f>
        <v>700000</v>
      </c>
      <c r="BC32" s="625">
        <f t="shared" ref="BC32:BE32" si="31">BC34</f>
        <v>528730</v>
      </c>
      <c r="BD32" s="625"/>
      <c r="BE32" s="625">
        <f t="shared" si="31"/>
        <v>0</v>
      </c>
      <c r="BF32" s="679" t="s">
        <v>279</v>
      </c>
    </row>
    <row r="33" spans="1:60" ht="13.5" hidden="1" customHeight="1" x14ac:dyDescent="0.15">
      <c r="A33" s="637">
        <f>A30+1</f>
        <v>19</v>
      </c>
      <c r="B33" s="6" t="s">
        <v>0</v>
      </c>
      <c r="C33" s="53"/>
      <c r="D33" s="131"/>
      <c r="E33" s="24">
        <f t="shared" ref="E33:V33" si="32">E34+E71+E77</f>
        <v>1380000</v>
      </c>
      <c r="F33" s="25">
        <f t="shared" si="32"/>
        <v>0</v>
      </c>
      <c r="G33" s="25">
        <f t="shared" si="32"/>
        <v>1355080</v>
      </c>
      <c r="H33" s="25">
        <f t="shared" si="32"/>
        <v>2573050</v>
      </c>
      <c r="I33" s="25">
        <f t="shared" si="32"/>
        <v>0</v>
      </c>
      <c r="J33" s="25">
        <f t="shared" si="32"/>
        <v>2996460</v>
      </c>
      <c r="K33" s="25">
        <f t="shared" si="32"/>
        <v>4313840</v>
      </c>
      <c r="L33" s="25">
        <f t="shared" si="32"/>
        <v>4948700</v>
      </c>
      <c r="M33" s="25">
        <f t="shared" si="32"/>
        <v>5757950</v>
      </c>
      <c r="N33" s="66">
        <f t="shared" si="32"/>
        <v>6755094</v>
      </c>
      <c r="O33" s="24">
        <f t="shared" si="32"/>
        <v>4097100</v>
      </c>
      <c r="P33" s="25">
        <f t="shared" si="32"/>
        <v>4235400</v>
      </c>
      <c r="Q33" s="25">
        <f t="shared" si="32"/>
        <v>4312760</v>
      </c>
      <c r="R33" s="84">
        <f t="shared" si="32"/>
        <v>4563600</v>
      </c>
      <c r="S33" s="75">
        <f t="shared" si="32"/>
        <v>2918000</v>
      </c>
      <c r="T33" s="25">
        <f t="shared" si="32"/>
        <v>4842400</v>
      </c>
      <c r="U33" s="25">
        <f t="shared" si="32"/>
        <v>5209300</v>
      </c>
      <c r="V33" s="26">
        <f t="shared" si="32"/>
        <v>4791900</v>
      </c>
      <c r="W33" s="45">
        <f>SUM(W34:W71)</f>
        <v>7947692</v>
      </c>
      <c r="X33" s="105">
        <f t="shared" ref="X33:AE33" si="33">X34+X71</f>
        <v>1576610</v>
      </c>
      <c r="Y33" s="105">
        <f t="shared" si="33"/>
        <v>1791040</v>
      </c>
      <c r="Z33" s="573">
        <f t="shared" si="33"/>
        <v>1839290</v>
      </c>
      <c r="AA33" s="573">
        <f t="shared" si="33"/>
        <v>1888790</v>
      </c>
      <c r="AB33" s="573">
        <f t="shared" si="33"/>
        <v>1944790</v>
      </c>
      <c r="AC33" s="573">
        <f t="shared" si="33"/>
        <v>2017040</v>
      </c>
      <c r="AD33" s="573">
        <f t="shared" si="33"/>
        <v>2017040</v>
      </c>
      <c r="AE33" s="209">
        <f t="shared" si="33"/>
        <v>1791290</v>
      </c>
      <c r="AF33" s="277">
        <f t="shared" ref="AF33:AF39" si="34">Z33-Y33</f>
        <v>48250</v>
      </c>
      <c r="AG33" s="292"/>
      <c r="AH33" s="292"/>
      <c r="AI33" s="244"/>
      <c r="AJ33" s="227">
        <f>SUM(AJ34:AJ71)</f>
        <v>11200000</v>
      </c>
      <c r="AK33" s="209">
        <v>1282000</v>
      </c>
      <c r="AL33" s="209">
        <f>AL34+AL71+AL77</f>
        <v>600750</v>
      </c>
      <c r="AM33" s="209">
        <f>AM34+AM71+AM77</f>
        <v>782250</v>
      </c>
      <c r="AN33" s="209">
        <f>AN34+AN71+AN77</f>
        <v>888000</v>
      </c>
      <c r="AO33" s="209">
        <f>AO34+AO71+AO77</f>
        <v>782250</v>
      </c>
      <c r="AP33" s="210">
        <f t="shared" ref="AP33:AU33" si="35">AP34+AP71</f>
        <v>964500</v>
      </c>
      <c r="AQ33" s="125">
        <f t="shared" si="35"/>
        <v>1120500</v>
      </c>
      <c r="AR33" s="209">
        <f t="shared" si="35"/>
        <v>1130500</v>
      </c>
      <c r="AS33" s="125">
        <f t="shared" si="35"/>
        <v>1179000</v>
      </c>
      <c r="AT33" s="209">
        <f t="shared" si="35"/>
        <v>1088500</v>
      </c>
      <c r="AU33" s="209">
        <f t="shared" si="35"/>
        <v>1088500</v>
      </c>
      <c r="AV33" s="304">
        <f>AT33-AC33</f>
        <v>-928540</v>
      </c>
      <c r="AW33" s="105">
        <f>AE33-AD33</f>
        <v>-225750</v>
      </c>
      <c r="AX33" s="91">
        <f>AX34+AX71+AX77</f>
        <v>450000</v>
      </c>
      <c r="AY33" s="227">
        <f>AY34+AY71+AY77</f>
        <v>1282000</v>
      </c>
      <c r="AZ33" s="210">
        <f>ROUND(AV33+AY33,-3)</f>
        <v>353000</v>
      </c>
      <c r="BA33" s="879">
        <f>BA34+BA71+BA77</f>
        <v>1813790</v>
      </c>
      <c r="BB33" s="678">
        <f>BB34+BB71+BB77</f>
        <v>1630000</v>
      </c>
      <c r="BC33" s="711"/>
      <c r="BD33" s="712"/>
      <c r="BE33" s="712"/>
      <c r="BF33" s="880"/>
    </row>
    <row r="34" spans="1:60" ht="15.95" customHeight="1" x14ac:dyDescent="0.15">
      <c r="A34" s="637">
        <v>21</v>
      </c>
      <c r="B34" s="7" t="s">
        <v>202</v>
      </c>
      <c r="C34" s="55"/>
      <c r="D34" s="129"/>
      <c r="E34" s="30">
        <v>960000</v>
      </c>
      <c r="F34" s="31">
        <v>0</v>
      </c>
      <c r="G34" s="31">
        <v>968400</v>
      </c>
      <c r="H34" s="31">
        <v>1480000</v>
      </c>
      <c r="I34" s="31">
        <v>0</v>
      </c>
      <c r="J34" s="31">
        <v>2300000</v>
      </c>
      <c r="K34" s="31">
        <v>3000000</v>
      </c>
      <c r="L34" s="31">
        <v>4090000</v>
      </c>
      <c r="M34" s="31">
        <v>3000000</v>
      </c>
      <c r="N34" s="69">
        <v>2600000</v>
      </c>
      <c r="O34" s="30">
        <v>1600000</v>
      </c>
      <c r="P34" s="31">
        <v>1600000</v>
      </c>
      <c r="Q34" s="31">
        <v>1600000</v>
      </c>
      <c r="R34" s="87">
        <v>2000000</v>
      </c>
      <c r="S34" s="78">
        <v>2000000</v>
      </c>
      <c r="T34" s="31">
        <v>1700000</v>
      </c>
      <c r="U34" s="31">
        <v>1999700</v>
      </c>
      <c r="V34" s="32">
        <v>1606000</v>
      </c>
      <c r="W34" s="106">
        <v>955090</v>
      </c>
      <c r="X34" s="104">
        <f t="shared" ref="X34:AD34" si="36">SUM(X35:X39)</f>
        <v>1138750</v>
      </c>
      <c r="Y34" s="104">
        <f t="shared" si="36"/>
        <v>1286000</v>
      </c>
      <c r="Z34" s="566">
        <f t="shared" si="36"/>
        <v>1334250</v>
      </c>
      <c r="AA34" s="566">
        <f t="shared" si="36"/>
        <v>1383750</v>
      </c>
      <c r="AB34" s="566">
        <f t="shared" si="36"/>
        <v>1439750</v>
      </c>
      <c r="AC34" s="566">
        <f t="shared" si="36"/>
        <v>1512000</v>
      </c>
      <c r="AD34" s="566">
        <f t="shared" si="36"/>
        <v>1512000</v>
      </c>
      <c r="AE34" s="215">
        <f>SUM(AE36:AE38)</f>
        <v>1286250</v>
      </c>
      <c r="AF34" s="278">
        <f t="shared" si="34"/>
        <v>48250</v>
      </c>
      <c r="AG34" s="293"/>
      <c r="AH34" s="293"/>
      <c r="AI34" s="134"/>
      <c r="AJ34" s="284">
        <v>1500000</v>
      </c>
      <c r="AK34" s="285">
        <f>SUM(AK36:AK38)</f>
        <v>1022000</v>
      </c>
      <c r="AL34" s="215">
        <f t="shared" ref="AL34:AR34" si="37">SUM(AL35:AL39)</f>
        <v>300750</v>
      </c>
      <c r="AM34" s="215">
        <f t="shared" si="37"/>
        <v>422250</v>
      </c>
      <c r="AN34" s="215">
        <f t="shared" si="37"/>
        <v>528000</v>
      </c>
      <c r="AO34" s="215">
        <f t="shared" si="37"/>
        <v>422250</v>
      </c>
      <c r="AP34" s="216">
        <f t="shared" si="37"/>
        <v>539500</v>
      </c>
      <c r="AQ34" s="123">
        <f t="shared" si="37"/>
        <v>695500</v>
      </c>
      <c r="AR34" s="215">
        <f t="shared" si="37"/>
        <v>705500</v>
      </c>
      <c r="AS34" s="123">
        <f>SUM(AS35:AS40)</f>
        <v>819000</v>
      </c>
      <c r="AT34" s="285">
        <f>SUM(AT35:AT40)</f>
        <v>728500</v>
      </c>
      <c r="AU34" s="285">
        <f>SUM(AU35:AU40)</f>
        <v>728500</v>
      </c>
      <c r="AV34" s="579">
        <f>AT34-AC34</f>
        <v>-783500</v>
      </c>
      <c r="AW34" s="104">
        <f>AE34-AD34</f>
        <v>-225750</v>
      </c>
      <c r="AX34" s="94">
        <f>SUM(AX35:AX40)</f>
        <v>450000</v>
      </c>
      <c r="AY34" s="230">
        <f>SUM(AY35:AY39)</f>
        <v>1022000</v>
      </c>
      <c r="AZ34" s="589">
        <f>SUM(AZ36:AZ38)</f>
        <v>942750</v>
      </c>
      <c r="BA34" s="664">
        <f>SUM(BA36:BA38)</f>
        <v>816240</v>
      </c>
      <c r="BB34" s="610">
        <f>SUM(BB36:BB38)</f>
        <v>700000</v>
      </c>
      <c r="BC34" s="610">
        <f t="shared" ref="BC34:BE34" si="38">SUM(BC36:BC38)</f>
        <v>528730</v>
      </c>
      <c r="BD34" s="610"/>
      <c r="BE34" s="610">
        <f t="shared" si="38"/>
        <v>0</v>
      </c>
      <c r="BF34" s="881"/>
      <c r="BH34" s="103"/>
    </row>
    <row r="35" spans="1:60" s="637" customFormat="1" ht="14.1" hidden="1" customHeight="1" x14ac:dyDescent="0.15">
      <c r="B35" s="882"/>
      <c r="C35" s="883" t="s">
        <v>200</v>
      </c>
      <c r="D35" s="884"/>
      <c r="E35" s="885"/>
      <c r="F35" s="886"/>
      <c r="G35" s="886"/>
      <c r="H35" s="886"/>
      <c r="I35" s="886"/>
      <c r="J35" s="886"/>
      <c r="K35" s="886"/>
      <c r="L35" s="886"/>
      <c r="M35" s="886"/>
      <c r="N35" s="887"/>
      <c r="O35" s="885"/>
      <c r="P35" s="886"/>
      <c r="Q35" s="886"/>
      <c r="R35" s="888"/>
      <c r="S35" s="889"/>
      <c r="T35" s="886"/>
      <c r="U35" s="886"/>
      <c r="V35" s="890"/>
      <c r="W35" s="891"/>
      <c r="X35" s="892">
        <v>356000</v>
      </c>
      <c r="Y35" s="892">
        <v>356000</v>
      </c>
      <c r="Z35" s="893">
        <v>356000</v>
      </c>
      <c r="AA35" s="893">
        <v>356000</v>
      </c>
      <c r="AB35" s="893">
        <v>356000</v>
      </c>
      <c r="AC35" s="893">
        <v>356000</v>
      </c>
      <c r="AD35" s="893">
        <v>356000</v>
      </c>
      <c r="AE35" s="894">
        <v>356000</v>
      </c>
      <c r="AF35" s="895">
        <f t="shared" si="34"/>
        <v>0</v>
      </c>
      <c r="AG35" s="894" t="s">
        <v>113</v>
      </c>
      <c r="AH35" s="894" t="s">
        <v>113</v>
      </c>
      <c r="AI35" s="896" t="s">
        <v>113</v>
      </c>
      <c r="AJ35" s="897"/>
      <c r="AK35" s="894">
        <v>150000</v>
      </c>
      <c r="AL35" s="894"/>
      <c r="AM35" s="894"/>
      <c r="AN35" s="894"/>
      <c r="AO35" s="894"/>
      <c r="AP35" s="898"/>
      <c r="AQ35" s="899"/>
      <c r="AR35" s="894"/>
      <c r="AS35" s="899"/>
      <c r="AT35" s="894"/>
      <c r="AU35" s="894"/>
      <c r="AV35" s="900">
        <f>AT35-AC35</f>
        <v>-356000</v>
      </c>
      <c r="AW35" s="892">
        <f>AE35-AD35</f>
        <v>0</v>
      </c>
      <c r="AX35" s="901">
        <v>150000</v>
      </c>
      <c r="AY35" s="897">
        <v>150000</v>
      </c>
      <c r="AZ35" s="898">
        <v>0</v>
      </c>
      <c r="BA35" s="902">
        <v>450000</v>
      </c>
      <c r="BB35" s="713">
        <v>450000</v>
      </c>
      <c r="BC35" s="713">
        <v>450000</v>
      </c>
      <c r="BD35" s="713"/>
      <c r="BE35" s="713">
        <v>450000</v>
      </c>
      <c r="BF35" s="896"/>
    </row>
    <row r="36" spans="1:60" s="637" customFormat="1" ht="13.5" customHeight="1" x14ac:dyDescent="0.15">
      <c r="A36" s="637">
        <v>22</v>
      </c>
      <c r="B36" s="882"/>
      <c r="C36" s="903" t="s">
        <v>280</v>
      </c>
      <c r="D36" s="904"/>
      <c r="E36" s="905"/>
      <c r="F36" s="906"/>
      <c r="G36" s="906"/>
      <c r="H36" s="906"/>
      <c r="I36" s="906"/>
      <c r="J36" s="906"/>
      <c r="K36" s="906"/>
      <c r="L36" s="906"/>
      <c r="M36" s="906"/>
      <c r="N36" s="907"/>
      <c r="O36" s="905"/>
      <c r="P36" s="906"/>
      <c r="Q36" s="906"/>
      <c r="R36" s="908"/>
      <c r="S36" s="909"/>
      <c r="T36" s="906"/>
      <c r="U36" s="906"/>
      <c r="V36" s="910"/>
      <c r="W36" s="911"/>
      <c r="X36" s="912">
        <v>301750</v>
      </c>
      <c r="Y36" s="912">
        <v>396000</v>
      </c>
      <c r="Z36" s="913">
        <v>430250</v>
      </c>
      <c r="AA36" s="913">
        <v>479750</v>
      </c>
      <c r="AB36" s="913">
        <v>535750</v>
      </c>
      <c r="AC36" s="913">
        <v>587500</v>
      </c>
      <c r="AD36" s="913">
        <v>587500</v>
      </c>
      <c r="AE36" s="295">
        <v>675750</v>
      </c>
      <c r="AF36" s="914">
        <f t="shared" si="34"/>
        <v>34250</v>
      </c>
      <c r="AG36" s="295"/>
      <c r="AH36" s="295"/>
      <c r="AI36" s="275"/>
      <c r="AJ36" s="1270"/>
      <c r="AK36" s="1260">
        <v>872000</v>
      </c>
      <c r="AL36" s="906">
        <v>207250</v>
      </c>
      <c r="AM36" s="906">
        <v>275250</v>
      </c>
      <c r="AN36" s="906">
        <v>322000</v>
      </c>
      <c r="AO36" s="1274">
        <v>422250</v>
      </c>
      <c r="AP36" s="1275">
        <v>539500</v>
      </c>
      <c r="AQ36" s="1283">
        <v>695500</v>
      </c>
      <c r="AR36" s="1274">
        <v>705500</v>
      </c>
      <c r="AS36" s="915">
        <v>461500</v>
      </c>
      <c r="AT36" s="916">
        <v>494000</v>
      </c>
      <c r="AU36" s="916">
        <v>494000</v>
      </c>
      <c r="AV36" s="1276">
        <f>AT36-AC36</f>
        <v>-93500</v>
      </c>
      <c r="AW36" s="912">
        <f>AE36-AD36</f>
        <v>88250</v>
      </c>
      <c r="AX36" s="1278">
        <v>150000</v>
      </c>
      <c r="AY36" s="1270">
        <v>872000</v>
      </c>
      <c r="AZ36" s="917">
        <v>633250</v>
      </c>
      <c r="BA36" s="714">
        <f>816240-18000</f>
        <v>798240</v>
      </c>
      <c r="BB36" s="714">
        <v>700000</v>
      </c>
      <c r="BC36" s="714">
        <v>528730</v>
      </c>
      <c r="BD36" s="714"/>
      <c r="BE36" s="714">
        <v>0</v>
      </c>
      <c r="BF36" s="1239" t="s">
        <v>298</v>
      </c>
    </row>
    <row r="37" spans="1:60" s="637" customFormat="1" ht="13.5" customHeight="1" x14ac:dyDescent="0.15">
      <c r="A37" s="637">
        <f>A36+1</f>
        <v>23</v>
      </c>
      <c r="B37" s="882"/>
      <c r="C37" s="903" t="s">
        <v>201</v>
      </c>
      <c r="D37" s="904"/>
      <c r="E37" s="905"/>
      <c r="F37" s="906"/>
      <c r="G37" s="906"/>
      <c r="H37" s="906"/>
      <c r="I37" s="906"/>
      <c r="J37" s="906"/>
      <c r="K37" s="906"/>
      <c r="L37" s="906"/>
      <c r="M37" s="906"/>
      <c r="N37" s="907"/>
      <c r="O37" s="905"/>
      <c r="P37" s="906"/>
      <c r="Q37" s="906"/>
      <c r="R37" s="908"/>
      <c r="S37" s="909"/>
      <c r="T37" s="906"/>
      <c r="U37" s="906"/>
      <c r="V37" s="910"/>
      <c r="W37" s="911"/>
      <c r="X37" s="912">
        <v>68750</v>
      </c>
      <c r="Y37" s="912">
        <v>101250</v>
      </c>
      <c r="Z37" s="913">
        <v>115250</v>
      </c>
      <c r="AA37" s="913">
        <v>115250</v>
      </c>
      <c r="AB37" s="913">
        <v>115250</v>
      </c>
      <c r="AC37" s="913">
        <v>127250</v>
      </c>
      <c r="AD37" s="913">
        <v>127250</v>
      </c>
      <c r="AE37" s="295">
        <f>160250+AE39</f>
        <v>254500</v>
      </c>
      <c r="AF37" s="914">
        <f t="shared" si="34"/>
        <v>14000</v>
      </c>
      <c r="AG37" s="295"/>
      <c r="AH37" s="295"/>
      <c r="AI37" s="275"/>
      <c r="AJ37" s="1271"/>
      <c r="AK37" s="1273"/>
      <c r="AL37" s="906">
        <v>93500</v>
      </c>
      <c r="AM37" s="906">
        <v>147000</v>
      </c>
      <c r="AN37" s="906">
        <v>206000</v>
      </c>
      <c r="AO37" s="1274"/>
      <c r="AP37" s="1275"/>
      <c r="AQ37" s="1283"/>
      <c r="AR37" s="1274"/>
      <c r="AS37" s="915">
        <v>292500</v>
      </c>
      <c r="AT37" s="916">
        <f>165500</f>
        <v>165500</v>
      </c>
      <c r="AU37" s="919">
        <f>165500</f>
        <v>165500</v>
      </c>
      <c r="AV37" s="1277">
        <f>AT37-AC37</f>
        <v>38250</v>
      </c>
      <c r="AW37" s="920">
        <f>AE37-AD37</f>
        <v>127250</v>
      </c>
      <c r="AX37" s="1279"/>
      <c r="AY37" s="1271"/>
      <c r="AZ37" s="921">
        <v>309500</v>
      </c>
      <c r="BA37" s="714">
        <v>18000</v>
      </c>
      <c r="BB37" s="715">
        <v>0</v>
      </c>
      <c r="BC37" s="715">
        <v>0</v>
      </c>
      <c r="BD37" s="715"/>
      <c r="BE37" s="715">
        <v>0</v>
      </c>
      <c r="BF37" s="918"/>
    </row>
    <row r="38" spans="1:60" s="637" customFormat="1" ht="13.5" customHeight="1" x14ac:dyDescent="0.15">
      <c r="A38" s="637">
        <f>A37+1</f>
        <v>24</v>
      </c>
      <c r="B38" s="882"/>
      <c r="C38" s="883" t="s">
        <v>230</v>
      </c>
      <c r="D38" s="884"/>
      <c r="E38" s="885"/>
      <c r="F38" s="886"/>
      <c r="G38" s="886"/>
      <c r="H38" s="886"/>
      <c r="I38" s="886"/>
      <c r="J38" s="886"/>
      <c r="K38" s="886"/>
      <c r="L38" s="886"/>
      <c r="M38" s="886"/>
      <c r="N38" s="887"/>
      <c r="O38" s="885"/>
      <c r="P38" s="886"/>
      <c r="Q38" s="886"/>
      <c r="R38" s="888"/>
      <c r="S38" s="889"/>
      <c r="T38" s="886"/>
      <c r="U38" s="886"/>
      <c r="V38" s="890"/>
      <c r="W38" s="891"/>
      <c r="X38" s="892">
        <v>356000</v>
      </c>
      <c r="Y38" s="892">
        <v>356000</v>
      </c>
      <c r="Z38" s="893">
        <v>356000</v>
      </c>
      <c r="AA38" s="893">
        <v>356000</v>
      </c>
      <c r="AB38" s="893">
        <v>356000</v>
      </c>
      <c r="AC38" s="893">
        <v>356000</v>
      </c>
      <c r="AD38" s="893">
        <v>356000</v>
      </c>
      <c r="AE38" s="894">
        <v>356000</v>
      </c>
      <c r="AF38" s="895">
        <f>Z38-Y38</f>
        <v>0</v>
      </c>
      <c r="AG38" s="894" t="s">
        <v>113</v>
      </c>
      <c r="AH38" s="894" t="s">
        <v>113</v>
      </c>
      <c r="AI38" s="896" t="s">
        <v>113</v>
      </c>
      <c r="AJ38" s="1272"/>
      <c r="AK38" s="894">
        <v>150000</v>
      </c>
      <c r="AL38" s="922"/>
      <c r="AM38" s="922"/>
      <c r="AN38" s="922"/>
      <c r="AO38" s="1274"/>
      <c r="AP38" s="1275"/>
      <c r="AQ38" s="1283"/>
      <c r="AR38" s="1274"/>
      <c r="AS38" s="915"/>
      <c r="AT38" s="916"/>
      <c r="AU38" s="923"/>
      <c r="AV38" s="1277"/>
      <c r="AW38" s="920"/>
      <c r="AX38" s="1279"/>
      <c r="AY38" s="1271"/>
      <c r="AZ38" s="898">
        <v>0</v>
      </c>
      <c r="BA38" s="902">
        <v>0</v>
      </c>
      <c r="BB38" s="716">
        <v>0</v>
      </c>
      <c r="BC38" s="716">
        <v>0</v>
      </c>
      <c r="BD38" s="716"/>
      <c r="BE38" s="716">
        <v>0</v>
      </c>
      <c r="BF38" s="896"/>
    </row>
    <row r="39" spans="1:60" s="637" customFormat="1" ht="11.25" hidden="1" customHeight="1" x14ac:dyDescent="0.15">
      <c r="A39" s="637">
        <f>A37+1</f>
        <v>24</v>
      </c>
      <c r="B39" s="924"/>
      <c r="C39" s="907" t="s">
        <v>156</v>
      </c>
      <c r="D39" s="904"/>
      <c r="E39" s="905"/>
      <c r="F39" s="906"/>
      <c r="G39" s="906"/>
      <c r="H39" s="906"/>
      <c r="I39" s="906"/>
      <c r="J39" s="906"/>
      <c r="K39" s="906"/>
      <c r="L39" s="906"/>
      <c r="M39" s="906"/>
      <c r="N39" s="907"/>
      <c r="O39" s="905"/>
      <c r="P39" s="906"/>
      <c r="Q39" s="906"/>
      <c r="R39" s="908"/>
      <c r="S39" s="909"/>
      <c r="T39" s="906"/>
      <c r="U39" s="906"/>
      <c r="V39" s="910"/>
      <c r="W39" s="911"/>
      <c r="X39" s="912">
        <v>56250</v>
      </c>
      <c r="Y39" s="912">
        <v>76750</v>
      </c>
      <c r="Z39" s="913">
        <v>76750</v>
      </c>
      <c r="AA39" s="913">
        <v>76750</v>
      </c>
      <c r="AB39" s="913">
        <v>76750</v>
      </c>
      <c r="AC39" s="913">
        <v>85250</v>
      </c>
      <c r="AD39" s="913">
        <v>85250</v>
      </c>
      <c r="AE39" s="295">
        <v>94250</v>
      </c>
      <c r="AF39" s="914">
        <f t="shared" si="34"/>
        <v>0</v>
      </c>
      <c r="AG39" s="295"/>
      <c r="AH39" s="295"/>
      <c r="AI39" s="275"/>
      <c r="AJ39" s="866"/>
      <c r="AK39" s="925"/>
      <c r="AL39" s="922"/>
      <c r="AM39" s="922"/>
      <c r="AN39" s="922"/>
      <c r="AO39" s="1274"/>
      <c r="AP39" s="1275"/>
      <c r="AQ39" s="1283"/>
      <c r="AR39" s="1274"/>
      <c r="AS39" s="915">
        <v>65000</v>
      </c>
      <c r="AT39" s="916">
        <v>69000</v>
      </c>
      <c r="AU39" s="923">
        <v>69000</v>
      </c>
      <c r="AV39" s="1277">
        <f>AT39-AC39</f>
        <v>-16250</v>
      </c>
      <c r="AW39" s="920">
        <f>AE39-AD39</f>
        <v>9000</v>
      </c>
      <c r="AX39" s="1280"/>
      <c r="AY39" s="1272"/>
      <c r="AZ39" s="926"/>
      <c r="BA39" s="927"/>
      <c r="BB39" s="717"/>
      <c r="BC39" s="717"/>
      <c r="BD39" s="718"/>
      <c r="BE39" s="718"/>
      <c r="BF39" s="928"/>
    </row>
    <row r="40" spans="1:60" s="637" customFormat="1" ht="12" hidden="1" customHeight="1" x14ac:dyDescent="0.15">
      <c r="A40" s="637">
        <v>28</v>
      </c>
      <c r="B40" s="929"/>
      <c r="C40" s="350" t="s">
        <v>197</v>
      </c>
      <c r="D40" s="930"/>
      <c r="E40" s="352"/>
      <c r="F40" s="353"/>
      <c r="G40" s="353"/>
      <c r="H40" s="353"/>
      <c r="I40" s="353"/>
      <c r="J40" s="353"/>
      <c r="K40" s="353"/>
      <c r="L40" s="353"/>
      <c r="M40" s="353"/>
      <c r="N40" s="350"/>
      <c r="O40" s="352"/>
      <c r="P40" s="353"/>
      <c r="Q40" s="353"/>
      <c r="R40" s="354"/>
      <c r="S40" s="355"/>
      <c r="T40" s="353"/>
      <c r="U40" s="353"/>
      <c r="V40" s="356"/>
      <c r="W40" s="357"/>
      <c r="X40" s="568"/>
      <c r="Y40" s="568"/>
      <c r="Z40" s="569"/>
      <c r="AA40" s="569"/>
      <c r="AB40" s="569"/>
      <c r="AC40" s="569"/>
      <c r="AD40" s="569"/>
      <c r="AE40" s="296"/>
      <c r="AF40" s="931"/>
      <c r="AG40" s="296"/>
      <c r="AH40" s="296"/>
      <c r="AI40" s="247"/>
      <c r="AJ40" s="359"/>
      <c r="AK40" s="296">
        <v>0</v>
      </c>
      <c r="AL40" s="932"/>
      <c r="AM40" s="932"/>
      <c r="AN40" s="932"/>
      <c r="AO40" s="932"/>
      <c r="AP40" s="933"/>
      <c r="AQ40" s="934"/>
      <c r="AR40" s="932"/>
      <c r="AS40" s="934"/>
      <c r="AT40" s="935"/>
      <c r="AU40" s="935"/>
      <c r="AV40" s="936">
        <f>AT40-AC40</f>
        <v>0</v>
      </c>
      <c r="AW40" s="568">
        <f>AE40-AD40</f>
        <v>0</v>
      </c>
      <c r="AX40" s="361">
        <v>150000</v>
      </c>
      <c r="AY40" s="359">
        <v>0</v>
      </c>
      <c r="AZ40" s="937"/>
      <c r="BA40" s="938">
        <v>0</v>
      </c>
      <c r="BB40" s="636">
        <v>0</v>
      </c>
      <c r="BC40" s="636"/>
      <c r="BD40" s="686"/>
      <c r="BE40" s="686"/>
      <c r="BF40" s="939"/>
    </row>
    <row r="41" spans="1:60" s="637" customFormat="1" ht="16.5" customHeight="1" x14ac:dyDescent="0.15">
      <c r="A41" s="637">
        <v>25</v>
      </c>
      <c r="B41" s="878" t="s">
        <v>167</v>
      </c>
      <c r="C41" s="541"/>
      <c r="D41" s="542"/>
      <c r="E41" s="543">
        <f t="shared" ref="E41:AJ41" si="39">E42+E48+E51+E58+E59+E60+E61+E65+E66+E71+E79+E88+E95+E98</f>
        <v>6375693</v>
      </c>
      <c r="F41" s="544">
        <f t="shared" si="39"/>
        <v>0</v>
      </c>
      <c r="G41" s="544">
        <f t="shared" si="39"/>
        <v>6572140</v>
      </c>
      <c r="H41" s="544">
        <f t="shared" si="39"/>
        <v>3424409</v>
      </c>
      <c r="I41" s="544">
        <f t="shared" si="39"/>
        <v>0</v>
      </c>
      <c r="J41" s="544">
        <f t="shared" si="39"/>
        <v>5410099</v>
      </c>
      <c r="K41" s="544">
        <f t="shared" si="39"/>
        <v>5865876</v>
      </c>
      <c r="L41" s="544">
        <f t="shared" si="39"/>
        <v>4258845</v>
      </c>
      <c r="M41" s="544">
        <f t="shared" si="39"/>
        <v>9117294</v>
      </c>
      <c r="N41" s="545">
        <f t="shared" si="39"/>
        <v>7059072</v>
      </c>
      <c r="O41" s="543">
        <f t="shared" si="39"/>
        <v>7433538</v>
      </c>
      <c r="P41" s="544">
        <f t="shared" si="39"/>
        <v>7187557</v>
      </c>
      <c r="Q41" s="544">
        <f t="shared" si="39"/>
        <v>6518286</v>
      </c>
      <c r="R41" s="546">
        <f t="shared" si="39"/>
        <v>6422630</v>
      </c>
      <c r="S41" s="547">
        <f t="shared" si="39"/>
        <v>5392787</v>
      </c>
      <c r="T41" s="544">
        <f t="shared" si="39"/>
        <v>6509839</v>
      </c>
      <c r="U41" s="544">
        <f t="shared" si="39"/>
        <v>5824399</v>
      </c>
      <c r="V41" s="548">
        <f t="shared" si="39"/>
        <v>6177503</v>
      </c>
      <c r="W41" s="549">
        <f t="shared" si="39"/>
        <v>3850467</v>
      </c>
      <c r="X41" s="554">
        <f t="shared" si="39"/>
        <v>4059739</v>
      </c>
      <c r="Y41" s="554">
        <f t="shared" si="39"/>
        <v>4233956</v>
      </c>
      <c r="Z41" s="556">
        <f t="shared" si="39"/>
        <v>4899578</v>
      </c>
      <c r="AA41" s="556">
        <f t="shared" si="39"/>
        <v>4906675</v>
      </c>
      <c r="AB41" s="556">
        <f t="shared" si="39"/>
        <v>5019980</v>
      </c>
      <c r="AC41" s="556">
        <f t="shared" si="39"/>
        <v>5340366</v>
      </c>
      <c r="AD41" s="556">
        <f t="shared" si="39"/>
        <v>5340366</v>
      </c>
      <c r="AE41" s="550">
        <f t="shared" si="39"/>
        <v>6870892</v>
      </c>
      <c r="AF41" s="551">
        <f t="shared" si="39"/>
        <v>665622</v>
      </c>
      <c r="AG41" s="550">
        <f t="shared" si="39"/>
        <v>0</v>
      </c>
      <c r="AH41" s="550">
        <f t="shared" si="39"/>
        <v>0</v>
      </c>
      <c r="AI41" s="552">
        <f t="shared" si="39"/>
        <v>0</v>
      </c>
      <c r="AJ41" s="553">
        <f t="shared" si="39"/>
        <v>4980000</v>
      </c>
      <c r="AK41" s="550">
        <f t="shared" ref="AK41:BC41" si="40">AK42+AK48+AK51+AK58+AK59+AK60+AK61+AK65+AK66+AK71+AK79+AK88+AK95+AK98</f>
        <v>4960000</v>
      </c>
      <c r="AL41" s="554">
        <f t="shared" si="40"/>
        <v>1307651</v>
      </c>
      <c r="AM41" s="554">
        <f t="shared" si="40"/>
        <v>1651216</v>
      </c>
      <c r="AN41" s="554">
        <f t="shared" si="40"/>
        <v>1662880</v>
      </c>
      <c r="AO41" s="554">
        <f t="shared" si="40"/>
        <v>1718341</v>
      </c>
      <c r="AP41" s="555">
        <f t="shared" si="40"/>
        <v>2990049</v>
      </c>
      <c r="AQ41" s="556">
        <f t="shared" si="40"/>
        <v>3445013</v>
      </c>
      <c r="AR41" s="554">
        <f t="shared" si="40"/>
        <v>3446733</v>
      </c>
      <c r="AS41" s="556">
        <f t="shared" si="40"/>
        <v>3464289</v>
      </c>
      <c r="AT41" s="554">
        <f t="shared" si="40"/>
        <v>3767884</v>
      </c>
      <c r="AU41" s="554">
        <f t="shared" si="40"/>
        <v>3772353</v>
      </c>
      <c r="AV41" s="557">
        <f t="shared" si="40"/>
        <v>-1543992</v>
      </c>
      <c r="AW41" s="554">
        <f t="shared" si="40"/>
        <v>1448086</v>
      </c>
      <c r="AX41" s="558">
        <f t="shared" si="40"/>
        <v>674400</v>
      </c>
      <c r="AY41" s="553">
        <f t="shared" si="40"/>
        <v>4586000</v>
      </c>
      <c r="AZ41" s="590">
        <f t="shared" si="40"/>
        <v>4641932</v>
      </c>
      <c r="BA41" s="665">
        <f t="shared" si="40"/>
        <v>4607020</v>
      </c>
      <c r="BB41" s="624">
        <f t="shared" si="40"/>
        <v>5213000</v>
      </c>
      <c r="BC41" s="624">
        <f t="shared" si="40"/>
        <v>1697919</v>
      </c>
      <c r="BD41" s="624"/>
      <c r="BE41" s="624">
        <f>BE42+BE48+BE51+BE58+BE59+BE60+BE61+BE65+BE66+BE71+BE79+BE88+BE95+BE98</f>
        <v>5391000</v>
      </c>
      <c r="BF41" s="628"/>
    </row>
    <row r="42" spans="1:60" s="637" customFormat="1" ht="15" customHeight="1" x14ac:dyDescent="0.15">
      <c r="A42" s="637">
        <f t="shared" ref="A42:A108" si="41">A41+1</f>
        <v>26</v>
      </c>
      <c r="B42" s="940" t="s">
        <v>180</v>
      </c>
      <c r="C42" s="365"/>
      <c r="D42" s="366"/>
      <c r="E42" s="367">
        <f>SUM(E44:E47)</f>
        <v>1808772</v>
      </c>
      <c r="F42" s="368">
        <f t="shared" ref="F42:AY42" si="42">SUM(F44:F47)</f>
        <v>0</v>
      </c>
      <c r="G42" s="368">
        <f t="shared" si="42"/>
        <v>2899760</v>
      </c>
      <c r="H42" s="368">
        <f t="shared" si="42"/>
        <v>1184019</v>
      </c>
      <c r="I42" s="368">
        <f t="shared" si="42"/>
        <v>0</v>
      </c>
      <c r="J42" s="368">
        <f t="shared" si="42"/>
        <v>1246890</v>
      </c>
      <c r="K42" s="368">
        <f t="shared" si="42"/>
        <v>1493039</v>
      </c>
      <c r="L42" s="368">
        <f t="shared" si="42"/>
        <v>176510</v>
      </c>
      <c r="M42" s="368">
        <f t="shared" si="42"/>
        <v>3696528</v>
      </c>
      <c r="N42" s="369">
        <f t="shared" si="42"/>
        <v>1219612</v>
      </c>
      <c r="O42" s="367">
        <f t="shared" si="42"/>
        <v>1142680</v>
      </c>
      <c r="P42" s="368">
        <f t="shared" si="42"/>
        <v>1571898</v>
      </c>
      <c r="Q42" s="368">
        <f t="shared" si="42"/>
        <v>271260</v>
      </c>
      <c r="R42" s="370">
        <f t="shared" si="42"/>
        <v>1212238</v>
      </c>
      <c r="S42" s="371">
        <f t="shared" si="42"/>
        <v>1329866</v>
      </c>
      <c r="T42" s="368">
        <f t="shared" si="42"/>
        <v>954487</v>
      </c>
      <c r="U42" s="368">
        <f t="shared" si="42"/>
        <v>646669</v>
      </c>
      <c r="V42" s="372">
        <f t="shared" si="42"/>
        <v>687576</v>
      </c>
      <c r="W42" s="373">
        <f t="shared" si="42"/>
        <v>302447</v>
      </c>
      <c r="X42" s="378">
        <f t="shared" si="42"/>
        <v>575132</v>
      </c>
      <c r="Y42" s="378">
        <f t="shared" si="42"/>
        <v>591332</v>
      </c>
      <c r="Z42" s="380">
        <f t="shared" si="42"/>
        <v>591332</v>
      </c>
      <c r="AA42" s="380">
        <f t="shared" si="42"/>
        <v>591332</v>
      </c>
      <c r="AB42" s="380">
        <f t="shared" si="42"/>
        <v>604292</v>
      </c>
      <c r="AC42" s="380">
        <f t="shared" si="42"/>
        <v>604292</v>
      </c>
      <c r="AD42" s="380">
        <f t="shared" si="42"/>
        <v>604292</v>
      </c>
      <c r="AE42" s="374">
        <f>SUM(AE44:AE47)-AE46</f>
        <v>604292</v>
      </c>
      <c r="AF42" s="375">
        <f t="shared" si="42"/>
        <v>0</v>
      </c>
      <c r="AG42" s="374">
        <f t="shared" si="42"/>
        <v>0</v>
      </c>
      <c r="AH42" s="374">
        <f t="shared" si="42"/>
        <v>0</v>
      </c>
      <c r="AI42" s="376">
        <f t="shared" si="42"/>
        <v>0</v>
      </c>
      <c r="AJ42" s="377">
        <f t="shared" si="42"/>
        <v>500000</v>
      </c>
      <c r="AK42" s="374">
        <f>SUM(AK44:AK47)</f>
        <v>284000</v>
      </c>
      <c r="AL42" s="378">
        <f t="shared" si="42"/>
        <v>284040</v>
      </c>
      <c r="AM42" s="378">
        <f t="shared" ref="AM42:AN42" si="43">SUM(AM44:AM47)</f>
        <v>284040</v>
      </c>
      <c r="AN42" s="378">
        <f t="shared" si="43"/>
        <v>284040</v>
      </c>
      <c r="AO42" s="378">
        <f>SUM(AO44:AO47)</f>
        <v>284040</v>
      </c>
      <c r="AP42" s="379">
        <f t="shared" si="42"/>
        <v>284040</v>
      </c>
      <c r="AQ42" s="380">
        <f t="shared" si="42"/>
        <v>284040</v>
      </c>
      <c r="AR42" s="378">
        <f t="shared" si="42"/>
        <v>284040</v>
      </c>
      <c r="AS42" s="380">
        <f t="shared" si="42"/>
        <v>284040</v>
      </c>
      <c r="AT42" s="378">
        <f t="shared" si="42"/>
        <v>284040</v>
      </c>
      <c r="AU42" s="378">
        <f>SUM(AU43:AU47)</f>
        <v>284040</v>
      </c>
      <c r="AV42" s="381">
        <f t="shared" si="42"/>
        <v>-320252</v>
      </c>
      <c r="AW42" s="378">
        <f t="shared" si="42"/>
        <v>12960</v>
      </c>
      <c r="AX42" s="382">
        <f t="shared" si="42"/>
        <v>0</v>
      </c>
      <c r="AY42" s="377">
        <f t="shared" si="42"/>
        <v>284000</v>
      </c>
      <c r="AZ42" s="422">
        <f t="shared" ref="AZ42:BE42" si="44">SUM(AZ43:AZ47)</f>
        <v>284040</v>
      </c>
      <c r="BA42" s="666">
        <f t="shared" si="44"/>
        <v>476695</v>
      </c>
      <c r="BB42" s="611">
        <f t="shared" si="44"/>
        <v>790000</v>
      </c>
      <c r="BC42" s="611">
        <f>SUM(BC43:BC47)</f>
        <v>0</v>
      </c>
      <c r="BD42" s="611"/>
      <c r="BE42" s="611">
        <f t="shared" si="44"/>
        <v>200000</v>
      </c>
      <c r="BF42" s="629"/>
      <c r="BG42" s="941"/>
    </row>
    <row r="43" spans="1:60" s="637" customFormat="1" ht="15" hidden="1" customHeight="1" x14ac:dyDescent="0.15">
      <c r="A43" s="941">
        <f t="shared" si="41"/>
        <v>27</v>
      </c>
      <c r="B43" s="942"/>
      <c r="C43" s="883" t="s">
        <v>221</v>
      </c>
      <c r="D43" s="638"/>
      <c r="E43" s="639"/>
      <c r="F43" s="640"/>
      <c r="G43" s="640"/>
      <c r="H43" s="640"/>
      <c r="I43" s="640"/>
      <c r="J43" s="640"/>
      <c r="K43" s="640"/>
      <c r="L43" s="640"/>
      <c r="M43" s="640"/>
      <c r="N43" s="641"/>
      <c r="O43" s="639"/>
      <c r="P43" s="640"/>
      <c r="Q43" s="640"/>
      <c r="R43" s="642"/>
      <c r="S43" s="643"/>
      <c r="T43" s="640"/>
      <c r="U43" s="640"/>
      <c r="V43" s="644"/>
      <c r="W43" s="645"/>
      <c r="X43" s="646"/>
      <c r="Y43" s="646"/>
      <c r="Z43" s="647"/>
      <c r="AA43" s="647"/>
      <c r="AB43" s="647"/>
      <c r="AC43" s="647"/>
      <c r="AD43" s="647"/>
      <c r="AE43" s="648"/>
      <c r="AF43" s="649"/>
      <c r="AG43" s="648"/>
      <c r="AH43" s="648"/>
      <c r="AI43" s="650"/>
      <c r="AJ43" s="651"/>
      <c r="AK43" s="648"/>
      <c r="AL43" s="646"/>
      <c r="AM43" s="646"/>
      <c r="AN43" s="646"/>
      <c r="AO43" s="646"/>
      <c r="AP43" s="652"/>
      <c r="AQ43" s="647"/>
      <c r="AR43" s="646"/>
      <c r="AS43" s="647"/>
      <c r="AT43" s="646"/>
      <c r="AU43" s="892">
        <v>0</v>
      </c>
      <c r="AV43" s="943"/>
      <c r="AW43" s="892"/>
      <c r="AX43" s="901"/>
      <c r="AY43" s="897"/>
      <c r="AZ43" s="898">
        <v>0</v>
      </c>
      <c r="BA43" s="902">
        <v>0</v>
      </c>
      <c r="BB43" s="716">
        <v>0</v>
      </c>
      <c r="BC43" s="716"/>
      <c r="BD43" s="719"/>
      <c r="BE43" s="719"/>
      <c r="BF43" s="944"/>
      <c r="BG43" s="941"/>
    </row>
    <row r="44" spans="1:60" s="637" customFormat="1" ht="13.5" customHeight="1" x14ac:dyDescent="0.15">
      <c r="A44" s="637">
        <v>27</v>
      </c>
      <c r="B44" s="942"/>
      <c r="C44" s="903" t="s">
        <v>11</v>
      </c>
      <c r="D44" s="884"/>
      <c r="E44" s="885">
        <v>881339</v>
      </c>
      <c r="F44" s="886">
        <v>0</v>
      </c>
      <c r="G44" s="886">
        <v>1805833</v>
      </c>
      <c r="H44" s="886">
        <v>667019</v>
      </c>
      <c r="I44" s="886">
        <v>0</v>
      </c>
      <c r="J44" s="886">
        <v>262866</v>
      </c>
      <c r="K44" s="886">
        <v>545939</v>
      </c>
      <c r="L44" s="886">
        <v>176510</v>
      </c>
      <c r="M44" s="886">
        <v>2201795</v>
      </c>
      <c r="N44" s="887">
        <v>611292</v>
      </c>
      <c r="O44" s="885">
        <v>730280</v>
      </c>
      <c r="P44" s="886">
        <v>1069356</v>
      </c>
      <c r="Q44" s="886">
        <v>271260</v>
      </c>
      <c r="R44" s="888">
        <v>1212238</v>
      </c>
      <c r="S44" s="889">
        <v>729866</v>
      </c>
      <c r="T44" s="886">
        <v>564900</v>
      </c>
      <c r="U44" s="886">
        <v>337069</v>
      </c>
      <c r="V44" s="890">
        <v>297576</v>
      </c>
      <c r="W44" s="891">
        <v>302447</v>
      </c>
      <c r="X44" s="892">
        <v>264848</v>
      </c>
      <c r="Y44" s="892">
        <v>264848</v>
      </c>
      <c r="Z44" s="893">
        <v>264848</v>
      </c>
      <c r="AA44" s="893">
        <v>264848</v>
      </c>
      <c r="AB44" s="893">
        <v>264848</v>
      </c>
      <c r="AC44" s="893">
        <v>264848</v>
      </c>
      <c r="AD44" s="893">
        <v>264848</v>
      </c>
      <c r="AE44" s="894">
        <v>264848</v>
      </c>
      <c r="AF44" s="895">
        <f>Z44-Y44</f>
        <v>0</v>
      </c>
      <c r="AG44" s="894" t="s">
        <v>15</v>
      </c>
      <c r="AH44" s="894" t="s">
        <v>15</v>
      </c>
      <c r="AI44" s="896" t="s">
        <v>15</v>
      </c>
      <c r="AJ44" s="1281">
        <v>200000</v>
      </c>
      <c r="AK44" s="894">
        <v>59000</v>
      </c>
      <c r="AL44" s="894">
        <f>59400</f>
        <v>59400</v>
      </c>
      <c r="AM44" s="894">
        <f>59400</f>
        <v>59400</v>
      </c>
      <c r="AN44" s="894">
        <f>59400</f>
        <v>59400</v>
      </c>
      <c r="AO44" s="894">
        <f>59400</f>
        <v>59400</v>
      </c>
      <c r="AP44" s="898">
        <v>59400</v>
      </c>
      <c r="AQ44" s="899">
        <v>59400</v>
      </c>
      <c r="AR44" s="894">
        <v>59400</v>
      </c>
      <c r="AS44" s="899">
        <v>59400</v>
      </c>
      <c r="AT44" s="894">
        <v>59400</v>
      </c>
      <c r="AU44" s="894">
        <v>59400</v>
      </c>
      <c r="AV44" s="900">
        <f>AT44-AC44</f>
        <v>-205448</v>
      </c>
      <c r="AW44" s="892">
        <f>AE44-AD44</f>
        <v>0</v>
      </c>
      <c r="AX44" s="901">
        <v>0</v>
      </c>
      <c r="AY44" s="897">
        <v>59000</v>
      </c>
      <c r="AZ44" s="898">
        <v>59400</v>
      </c>
      <c r="BA44" s="902">
        <v>114047</v>
      </c>
      <c r="BB44" s="716">
        <f>150000+190000</f>
        <v>340000</v>
      </c>
      <c r="BC44" s="716">
        <v>0</v>
      </c>
      <c r="BD44" s="719"/>
      <c r="BE44" s="719">
        <v>100000</v>
      </c>
      <c r="BF44" s="945" t="s">
        <v>293</v>
      </c>
      <c r="BG44" s="941"/>
    </row>
    <row r="45" spans="1:60" s="637" customFormat="1" ht="13.5" customHeight="1" x14ac:dyDescent="0.15">
      <c r="A45" s="637">
        <f t="shared" si="41"/>
        <v>28</v>
      </c>
      <c r="B45" s="942"/>
      <c r="C45" s="903" t="s">
        <v>216</v>
      </c>
      <c r="D45" s="884"/>
      <c r="E45" s="885"/>
      <c r="F45" s="886"/>
      <c r="G45" s="886"/>
      <c r="H45" s="886"/>
      <c r="I45" s="886"/>
      <c r="J45" s="886"/>
      <c r="K45" s="886"/>
      <c r="L45" s="886"/>
      <c r="M45" s="886"/>
      <c r="N45" s="887"/>
      <c r="O45" s="885"/>
      <c r="P45" s="886"/>
      <c r="Q45" s="886"/>
      <c r="R45" s="888"/>
      <c r="S45" s="889"/>
      <c r="T45" s="886"/>
      <c r="U45" s="886"/>
      <c r="V45" s="890"/>
      <c r="W45" s="891"/>
      <c r="X45" s="892">
        <v>0</v>
      </c>
      <c r="Y45" s="892">
        <v>16200</v>
      </c>
      <c r="Z45" s="893">
        <v>16200</v>
      </c>
      <c r="AA45" s="893">
        <v>16200</v>
      </c>
      <c r="AB45" s="893">
        <v>16200</v>
      </c>
      <c r="AC45" s="893">
        <v>16200</v>
      </c>
      <c r="AD45" s="893">
        <v>16200</v>
      </c>
      <c r="AE45" s="894">
        <f>16200+AE46</f>
        <v>29160</v>
      </c>
      <c r="AF45" s="895">
        <f>Z45-Y45</f>
        <v>0</v>
      </c>
      <c r="AG45" s="894" t="s">
        <v>20</v>
      </c>
      <c r="AH45" s="894" t="s">
        <v>20</v>
      </c>
      <c r="AI45" s="896" t="s">
        <v>20</v>
      </c>
      <c r="AJ45" s="1282"/>
      <c r="AK45" s="946">
        <v>0</v>
      </c>
      <c r="AL45" s="894">
        <v>0</v>
      </c>
      <c r="AM45" s="894">
        <v>0</v>
      </c>
      <c r="AN45" s="894">
        <v>0</v>
      </c>
      <c r="AO45" s="894">
        <v>0</v>
      </c>
      <c r="AP45" s="898">
        <v>0</v>
      </c>
      <c r="AQ45" s="899">
        <v>0</v>
      </c>
      <c r="AR45" s="894">
        <v>0</v>
      </c>
      <c r="AS45" s="899">
        <v>0</v>
      </c>
      <c r="AT45" s="894">
        <v>0</v>
      </c>
      <c r="AU45" s="894">
        <v>0</v>
      </c>
      <c r="AV45" s="900">
        <f>AT45-AC45</f>
        <v>-16200</v>
      </c>
      <c r="AW45" s="892">
        <f>AE45-AD45</f>
        <v>12960</v>
      </c>
      <c r="AX45" s="901">
        <v>0</v>
      </c>
      <c r="AY45" s="897">
        <v>0</v>
      </c>
      <c r="AZ45" s="898">
        <v>0</v>
      </c>
      <c r="BA45" s="902">
        <v>0</v>
      </c>
      <c r="BB45" s="716">
        <v>100000</v>
      </c>
      <c r="BC45" s="716">
        <v>0</v>
      </c>
      <c r="BD45" s="719"/>
      <c r="BE45" s="719">
        <v>100000</v>
      </c>
      <c r="BF45" s="896" t="s">
        <v>293</v>
      </c>
      <c r="BG45" s="941"/>
    </row>
    <row r="46" spans="1:60" s="637" customFormat="1" ht="14.1" hidden="1" customHeight="1" x14ac:dyDescent="0.15">
      <c r="B46" s="947"/>
      <c r="C46" s="903" t="s">
        <v>125</v>
      </c>
      <c r="D46" s="884"/>
      <c r="E46" s="885"/>
      <c r="F46" s="886"/>
      <c r="G46" s="886"/>
      <c r="H46" s="886"/>
      <c r="I46" s="886"/>
      <c r="J46" s="886"/>
      <c r="K46" s="886"/>
      <c r="L46" s="886"/>
      <c r="M46" s="886"/>
      <c r="N46" s="887"/>
      <c r="O46" s="885"/>
      <c r="P46" s="886"/>
      <c r="Q46" s="886"/>
      <c r="R46" s="888"/>
      <c r="S46" s="889"/>
      <c r="T46" s="886"/>
      <c r="U46" s="886"/>
      <c r="V46" s="890"/>
      <c r="W46" s="891"/>
      <c r="X46" s="892">
        <v>0</v>
      </c>
      <c r="Y46" s="892">
        <v>0</v>
      </c>
      <c r="Z46" s="893">
        <v>0</v>
      </c>
      <c r="AA46" s="893">
        <v>0</v>
      </c>
      <c r="AB46" s="893">
        <v>12960</v>
      </c>
      <c r="AC46" s="893">
        <v>12960</v>
      </c>
      <c r="AD46" s="893">
        <v>12960</v>
      </c>
      <c r="AE46" s="894">
        <v>12960</v>
      </c>
      <c r="AF46" s="895">
        <f>Z46-Y46</f>
        <v>0</v>
      </c>
      <c r="AG46" s="894"/>
      <c r="AH46" s="894"/>
      <c r="AI46" s="896"/>
      <c r="AJ46" s="948"/>
      <c r="AK46" s="946">
        <v>0</v>
      </c>
      <c r="AL46" s="894">
        <v>0</v>
      </c>
      <c r="AM46" s="894">
        <v>0</v>
      </c>
      <c r="AN46" s="894">
        <v>0</v>
      </c>
      <c r="AO46" s="894">
        <v>0</v>
      </c>
      <c r="AP46" s="898">
        <v>0</v>
      </c>
      <c r="AQ46" s="899">
        <v>0</v>
      </c>
      <c r="AR46" s="894">
        <v>0</v>
      </c>
      <c r="AS46" s="899">
        <v>0</v>
      </c>
      <c r="AT46" s="894">
        <v>0</v>
      </c>
      <c r="AU46" s="894">
        <v>0</v>
      </c>
      <c r="AV46" s="900">
        <f>AT46-AC46</f>
        <v>-12960</v>
      </c>
      <c r="AW46" s="892">
        <f>AE46-AD46</f>
        <v>0</v>
      </c>
      <c r="AX46" s="901">
        <v>0</v>
      </c>
      <c r="AY46" s="897">
        <v>0</v>
      </c>
      <c r="AZ46" s="898"/>
      <c r="BA46" s="902">
        <v>0</v>
      </c>
      <c r="BB46" s="716">
        <v>0</v>
      </c>
      <c r="BC46" s="716"/>
      <c r="BD46" s="719"/>
      <c r="BE46" s="719"/>
      <c r="BF46" s="945"/>
      <c r="BG46" s="941"/>
    </row>
    <row r="47" spans="1:60" s="637" customFormat="1" ht="13.5" customHeight="1" x14ac:dyDescent="0.15">
      <c r="A47" s="637">
        <v>29</v>
      </c>
      <c r="B47" s="949"/>
      <c r="C47" s="950" t="s">
        <v>220</v>
      </c>
      <c r="D47" s="951"/>
      <c r="E47" s="952">
        <v>927433</v>
      </c>
      <c r="F47" s="953">
        <v>0</v>
      </c>
      <c r="G47" s="953">
        <v>1093927</v>
      </c>
      <c r="H47" s="953">
        <v>517000</v>
      </c>
      <c r="I47" s="953">
        <v>0</v>
      </c>
      <c r="J47" s="953">
        <v>984024</v>
      </c>
      <c r="K47" s="953">
        <v>947100</v>
      </c>
      <c r="L47" s="953">
        <v>0</v>
      </c>
      <c r="M47" s="953">
        <v>1494733</v>
      </c>
      <c r="N47" s="954">
        <v>608320</v>
      </c>
      <c r="O47" s="952">
        <v>412400</v>
      </c>
      <c r="P47" s="953">
        <v>502542</v>
      </c>
      <c r="Q47" s="953">
        <v>0</v>
      </c>
      <c r="R47" s="955">
        <v>0</v>
      </c>
      <c r="S47" s="956">
        <v>600000</v>
      </c>
      <c r="T47" s="953">
        <v>389587</v>
      </c>
      <c r="U47" s="953">
        <v>309600</v>
      </c>
      <c r="V47" s="957">
        <v>390000</v>
      </c>
      <c r="W47" s="958">
        <v>0</v>
      </c>
      <c r="X47" s="959">
        <v>310284</v>
      </c>
      <c r="Y47" s="959">
        <v>310284</v>
      </c>
      <c r="Z47" s="960">
        <v>310284</v>
      </c>
      <c r="AA47" s="960">
        <v>310284</v>
      </c>
      <c r="AB47" s="960">
        <v>310284</v>
      </c>
      <c r="AC47" s="960">
        <v>310284</v>
      </c>
      <c r="AD47" s="960">
        <v>310284</v>
      </c>
      <c r="AE47" s="632">
        <v>310284</v>
      </c>
      <c r="AF47" s="961">
        <v>0</v>
      </c>
      <c r="AG47" s="632"/>
      <c r="AH47" s="632"/>
      <c r="AI47" s="962"/>
      <c r="AJ47" s="963">
        <v>300000</v>
      </c>
      <c r="AK47" s="632">
        <v>225000</v>
      </c>
      <c r="AL47" s="959">
        <v>224640</v>
      </c>
      <c r="AM47" s="959">
        <v>224640</v>
      </c>
      <c r="AN47" s="959">
        <v>224640</v>
      </c>
      <c r="AO47" s="959">
        <v>224640</v>
      </c>
      <c r="AP47" s="964">
        <v>224640</v>
      </c>
      <c r="AQ47" s="960">
        <v>224640</v>
      </c>
      <c r="AR47" s="959">
        <v>224640</v>
      </c>
      <c r="AS47" s="960">
        <v>224640</v>
      </c>
      <c r="AT47" s="959">
        <v>224640</v>
      </c>
      <c r="AU47" s="959">
        <v>224640</v>
      </c>
      <c r="AV47" s="965">
        <v>-85644</v>
      </c>
      <c r="AW47" s="959">
        <v>0</v>
      </c>
      <c r="AX47" s="966">
        <v>0</v>
      </c>
      <c r="AY47" s="963">
        <v>225000</v>
      </c>
      <c r="AZ47" s="967">
        <v>224640</v>
      </c>
      <c r="BA47" s="968">
        <v>362648</v>
      </c>
      <c r="BB47" s="720">
        <v>350000</v>
      </c>
      <c r="BC47" s="720">
        <v>0</v>
      </c>
      <c r="BD47" s="721"/>
      <c r="BE47" s="721">
        <v>0</v>
      </c>
      <c r="BF47" s="969"/>
      <c r="BG47" s="941"/>
    </row>
    <row r="48" spans="1:60" s="637" customFormat="1" ht="15" customHeight="1" x14ac:dyDescent="0.15">
      <c r="A48" s="637">
        <f t="shared" si="41"/>
        <v>30</v>
      </c>
      <c r="B48" s="970" t="s">
        <v>181</v>
      </c>
      <c r="C48" s="383"/>
      <c r="D48" s="384"/>
      <c r="E48" s="385">
        <f>SUM(E49:E50)</f>
        <v>1230040</v>
      </c>
      <c r="F48" s="386">
        <f t="shared" ref="F48:AZ48" si="45">SUM(F49:F50)</f>
        <v>0</v>
      </c>
      <c r="G48" s="386">
        <f t="shared" si="45"/>
        <v>0</v>
      </c>
      <c r="H48" s="386">
        <f t="shared" si="45"/>
        <v>0</v>
      </c>
      <c r="I48" s="386">
        <f t="shared" si="45"/>
        <v>0</v>
      </c>
      <c r="J48" s="386">
        <f t="shared" si="45"/>
        <v>163615</v>
      </c>
      <c r="K48" s="386">
        <f t="shared" si="45"/>
        <v>0</v>
      </c>
      <c r="L48" s="386">
        <f t="shared" si="45"/>
        <v>0</v>
      </c>
      <c r="M48" s="386">
        <f t="shared" si="45"/>
        <v>0</v>
      </c>
      <c r="N48" s="387">
        <f t="shared" si="45"/>
        <v>0</v>
      </c>
      <c r="O48" s="385">
        <f t="shared" si="45"/>
        <v>0</v>
      </c>
      <c r="P48" s="386">
        <f t="shared" si="45"/>
        <v>0</v>
      </c>
      <c r="Q48" s="386">
        <f t="shared" si="45"/>
        <v>0</v>
      </c>
      <c r="R48" s="388">
        <f t="shared" si="45"/>
        <v>0</v>
      </c>
      <c r="S48" s="389">
        <f t="shared" si="45"/>
        <v>0</v>
      </c>
      <c r="T48" s="386">
        <f t="shared" si="45"/>
        <v>0</v>
      </c>
      <c r="U48" s="386">
        <f t="shared" si="45"/>
        <v>0</v>
      </c>
      <c r="V48" s="390">
        <f t="shared" si="45"/>
        <v>0</v>
      </c>
      <c r="W48" s="391">
        <f t="shared" si="45"/>
        <v>0</v>
      </c>
      <c r="X48" s="396">
        <f t="shared" si="45"/>
        <v>105688</v>
      </c>
      <c r="Y48" s="396">
        <f t="shared" si="45"/>
        <v>179854</v>
      </c>
      <c r="Z48" s="398">
        <f t="shared" si="45"/>
        <v>179854</v>
      </c>
      <c r="AA48" s="398">
        <f t="shared" si="45"/>
        <v>179854</v>
      </c>
      <c r="AB48" s="398">
        <f t="shared" si="45"/>
        <v>179854</v>
      </c>
      <c r="AC48" s="398">
        <f t="shared" si="45"/>
        <v>179854</v>
      </c>
      <c r="AD48" s="398">
        <f t="shared" si="45"/>
        <v>179854</v>
      </c>
      <c r="AE48" s="392">
        <f t="shared" si="45"/>
        <v>179854</v>
      </c>
      <c r="AF48" s="393">
        <f t="shared" si="45"/>
        <v>0</v>
      </c>
      <c r="AG48" s="392">
        <f t="shared" si="45"/>
        <v>0</v>
      </c>
      <c r="AH48" s="392">
        <f t="shared" si="45"/>
        <v>0</v>
      </c>
      <c r="AI48" s="394">
        <f t="shared" si="45"/>
        <v>0</v>
      </c>
      <c r="AJ48" s="395">
        <v>150000</v>
      </c>
      <c r="AK48" s="392">
        <f t="shared" si="45"/>
        <v>122000</v>
      </c>
      <c r="AL48" s="396">
        <f t="shared" si="45"/>
        <v>111660</v>
      </c>
      <c r="AM48" s="396">
        <f t="shared" si="45"/>
        <v>122004</v>
      </c>
      <c r="AN48" s="396">
        <f t="shared" si="45"/>
        <v>122004</v>
      </c>
      <c r="AO48" s="396">
        <f>SUM(AO49:AO50)</f>
        <v>122004</v>
      </c>
      <c r="AP48" s="397">
        <f t="shared" si="45"/>
        <v>122004</v>
      </c>
      <c r="AQ48" s="398">
        <f t="shared" si="45"/>
        <v>122004</v>
      </c>
      <c r="AR48" s="396">
        <f t="shared" si="45"/>
        <v>122004</v>
      </c>
      <c r="AS48" s="398">
        <f t="shared" si="45"/>
        <v>122004</v>
      </c>
      <c r="AT48" s="396">
        <f t="shared" si="45"/>
        <v>122004</v>
      </c>
      <c r="AU48" s="396">
        <f t="shared" si="45"/>
        <v>122004</v>
      </c>
      <c r="AV48" s="399">
        <f t="shared" si="45"/>
        <v>-57850</v>
      </c>
      <c r="AW48" s="396">
        <f t="shared" si="45"/>
        <v>0</v>
      </c>
      <c r="AX48" s="400">
        <f t="shared" si="45"/>
        <v>0</v>
      </c>
      <c r="AY48" s="395">
        <f t="shared" si="45"/>
        <v>122000</v>
      </c>
      <c r="AZ48" s="444">
        <f t="shared" si="45"/>
        <v>147574</v>
      </c>
      <c r="BA48" s="667">
        <f>SUM(BA49:BA50)</f>
        <v>240307</v>
      </c>
      <c r="BB48" s="612">
        <f>SUM(BB49:BB50)</f>
        <v>500000</v>
      </c>
      <c r="BC48" s="612">
        <f t="shared" ref="BC48:BE48" si="46">SUM(BC49:BC50)</f>
        <v>0</v>
      </c>
      <c r="BD48" s="612"/>
      <c r="BE48" s="612">
        <f t="shared" si="46"/>
        <v>300000</v>
      </c>
      <c r="BF48" s="630"/>
      <c r="BG48" s="941"/>
    </row>
    <row r="49" spans="1:59" s="637" customFormat="1" ht="13.5" customHeight="1" x14ac:dyDescent="0.15">
      <c r="A49" s="637">
        <f t="shared" si="41"/>
        <v>31</v>
      </c>
      <c r="B49" s="947"/>
      <c r="C49" s="903" t="s">
        <v>11</v>
      </c>
      <c r="D49" s="884"/>
      <c r="E49" s="885">
        <v>1230040</v>
      </c>
      <c r="F49" s="886"/>
      <c r="G49" s="886"/>
      <c r="H49" s="886"/>
      <c r="I49" s="886"/>
      <c r="J49" s="886">
        <v>163615</v>
      </c>
      <c r="K49" s="886"/>
      <c r="L49" s="886"/>
      <c r="M49" s="886"/>
      <c r="N49" s="887"/>
      <c r="O49" s="885"/>
      <c r="P49" s="886"/>
      <c r="Q49" s="886"/>
      <c r="R49" s="888"/>
      <c r="S49" s="889"/>
      <c r="T49" s="886"/>
      <c r="U49" s="886"/>
      <c r="V49" s="890"/>
      <c r="W49" s="891"/>
      <c r="X49" s="892">
        <v>105688</v>
      </c>
      <c r="Y49" s="892">
        <v>106778</v>
      </c>
      <c r="Z49" s="893">
        <v>106778</v>
      </c>
      <c r="AA49" s="893">
        <v>106778</v>
      </c>
      <c r="AB49" s="893">
        <v>106778</v>
      </c>
      <c r="AC49" s="893">
        <v>106778</v>
      </c>
      <c r="AD49" s="893">
        <v>106778</v>
      </c>
      <c r="AE49" s="894">
        <v>106778</v>
      </c>
      <c r="AF49" s="895">
        <v>0</v>
      </c>
      <c r="AG49" s="894" t="s">
        <v>13</v>
      </c>
      <c r="AH49" s="894" t="s">
        <v>13</v>
      </c>
      <c r="AI49" s="896" t="s">
        <v>13</v>
      </c>
      <c r="AJ49" s="1284"/>
      <c r="AK49" s="894">
        <v>122000</v>
      </c>
      <c r="AL49" s="892">
        <v>111660</v>
      </c>
      <c r="AM49" s="892">
        <v>122004</v>
      </c>
      <c r="AN49" s="892">
        <v>122004</v>
      </c>
      <c r="AO49" s="892">
        <v>122004</v>
      </c>
      <c r="AP49" s="971">
        <v>122004</v>
      </c>
      <c r="AQ49" s="893">
        <v>122004</v>
      </c>
      <c r="AR49" s="892">
        <v>122004</v>
      </c>
      <c r="AS49" s="893">
        <v>122004</v>
      </c>
      <c r="AT49" s="892">
        <v>122004</v>
      </c>
      <c r="AU49" s="892">
        <v>122004</v>
      </c>
      <c r="AV49" s="943">
        <v>15226</v>
      </c>
      <c r="AW49" s="892">
        <v>0</v>
      </c>
      <c r="AX49" s="901">
        <v>0</v>
      </c>
      <c r="AY49" s="897">
        <v>122000</v>
      </c>
      <c r="AZ49" s="898">
        <v>122004</v>
      </c>
      <c r="BA49" s="902">
        <f>190127+50180</f>
        <v>240307</v>
      </c>
      <c r="BB49" s="716">
        <v>400000</v>
      </c>
      <c r="BC49" s="716">
        <v>0</v>
      </c>
      <c r="BD49" s="719"/>
      <c r="BE49" s="719">
        <v>200000</v>
      </c>
      <c r="BF49" s="945" t="s">
        <v>293</v>
      </c>
      <c r="BG49" s="941"/>
    </row>
    <row r="50" spans="1:59" s="637" customFormat="1" ht="13.5" customHeight="1" x14ac:dyDescent="0.15">
      <c r="A50" s="637">
        <f t="shared" si="41"/>
        <v>32</v>
      </c>
      <c r="B50" s="947"/>
      <c r="C50" s="781" t="s">
        <v>216</v>
      </c>
      <c r="D50" s="972"/>
      <c r="E50" s="973"/>
      <c r="F50" s="974"/>
      <c r="G50" s="974"/>
      <c r="H50" s="974"/>
      <c r="I50" s="974"/>
      <c r="J50" s="974"/>
      <c r="K50" s="974"/>
      <c r="L50" s="974"/>
      <c r="M50" s="974"/>
      <c r="N50" s="975"/>
      <c r="O50" s="973"/>
      <c r="P50" s="974"/>
      <c r="Q50" s="974"/>
      <c r="R50" s="976"/>
      <c r="S50" s="977"/>
      <c r="T50" s="974"/>
      <c r="U50" s="974"/>
      <c r="V50" s="978"/>
      <c r="W50" s="979"/>
      <c r="X50" s="980">
        <v>0</v>
      </c>
      <c r="Y50" s="980">
        <v>73076</v>
      </c>
      <c r="Z50" s="981">
        <v>73076</v>
      </c>
      <c r="AA50" s="981">
        <v>73076</v>
      </c>
      <c r="AB50" s="981">
        <v>73076</v>
      </c>
      <c r="AC50" s="981">
        <v>73076</v>
      </c>
      <c r="AD50" s="981">
        <v>73076</v>
      </c>
      <c r="AE50" s="982">
        <v>73076</v>
      </c>
      <c r="AF50" s="983">
        <v>0</v>
      </c>
      <c r="AG50" s="982" t="s">
        <v>14</v>
      </c>
      <c r="AH50" s="982" t="s">
        <v>14</v>
      </c>
      <c r="AI50" s="984" t="s">
        <v>14</v>
      </c>
      <c r="AJ50" s="1285"/>
      <c r="AK50" s="982">
        <v>0</v>
      </c>
      <c r="AL50" s="919">
        <v>0</v>
      </c>
      <c r="AM50" s="919">
        <v>0</v>
      </c>
      <c r="AN50" s="919">
        <v>0</v>
      </c>
      <c r="AO50" s="919">
        <v>0</v>
      </c>
      <c r="AP50" s="985">
        <v>0</v>
      </c>
      <c r="AQ50" s="986">
        <v>0</v>
      </c>
      <c r="AR50" s="919">
        <v>0</v>
      </c>
      <c r="AS50" s="986">
        <v>0</v>
      </c>
      <c r="AT50" s="919">
        <v>0</v>
      </c>
      <c r="AU50" s="980">
        <v>0</v>
      </c>
      <c r="AV50" s="987">
        <v>-73076</v>
      </c>
      <c r="AW50" s="980">
        <v>0</v>
      </c>
      <c r="AX50" s="988">
        <v>0</v>
      </c>
      <c r="AY50" s="989">
        <v>0</v>
      </c>
      <c r="AZ50" s="990">
        <v>25570</v>
      </c>
      <c r="BA50" s="991">
        <v>0</v>
      </c>
      <c r="BB50" s="722">
        <v>100000</v>
      </c>
      <c r="BC50" s="722">
        <v>0</v>
      </c>
      <c r="BD50" s="736"/>
      <c r="BE50" s="723">
        <v>100000</v>
      </c>
      <c r="BF50" s="992" t="s">
        <v>293</v>
      </c>
      <c r="BG50" s="941"/>
    </row>
    <row r="51" spans="1:59" s="637" customFormat="1" ht="15" customHeight="1" x14ac:dyDescent="0.15">
      <c r="A51" s="637">
        <f>A50+1</f>
        <v>33</v>
      </c>
      <c r="B51" s="940" t="s">
        <v>182</v>
      </c>
      <c r="C51" s="365"/>
      <c r="D51" s="366"/>
      <c r="E51" s="367">
        <v>500000</v>
      </c>
      <c r="F51" s="368">
        <v>0</v>
      </c>
      <c r="G51" s="368">
        <v>788675</v>
      </c>
      <c r="H51" s="368">
        <v>504235</v>
      </c>
      <c r="I51" s="368">
        <v>0</v>
      </c>
      <c r="J51" s="368">
        <v>1028290</v>
      </c>
      <c r="K51" s="368">
        <v>1265782</v>
      </c>
      <c r="L51" s="368">
        <v>994855</v>
      </c>
      <c r="M51" s="368">
        <v>1365086</v>
      </c>
      <c r="N51" s="369">
        <v>1083729</v>
      </c>
      <c r="O51" s="367">
        <v>1045621</v>
      </c>
      <c r="P51" s="368">
        <v>1011954</v>
      </c>
      <c r="Q51" s="368">
        <v>964539</v>
      </c>
      <c r="R51" s="370">
        <v>936287</v>
      </c>
      <c r="S51" s="371">
        <v>890625</v>
      </c>
      <c r="T51" s="368">
        <v>881647</v>
      </c>
      <c r="U51" s="368">
        <v>982389</v>
      </c>
      <c r="V51" s="372">
        <v>778032</v>
      </c>
      <c r="W51" s="373">
        <f t="shared" ref="W51:AY51" si="47">SUM(W52:W57)</f>
        <v>576614</v>
      </c>
      <c r="X51" s="378">
        <f t="shared" si="47"/>
        <v>328112</v>
      </c>
      <c r="Y51" s="378">
        <f t="shared" si="47"/>
        <v>328112</v>
      </c>
      <c r="Z51" s="380">
        <f t="shared" si="47"/>
        <v>493132</v>
      </c>
      <c r="AA51" s="380">
        <f t="shared" si="47"/>
        <v>497868</v>
      </c>
      <c r="AB51" s="380">
        <f t="shared" si="47"/>
        <v>498213</v>
      </c>
      <c r="AC51" s="380">
        <f t="shared" si="47"/>
        <v>582669</v>
      </c>
      <c r="AD51" s="380">
        <f t="shared" si="47"/>
        <v>582669</v>
      </c>
      <c r="AE51" s="374">
        <f t="shared" si="47"/>
        <v>629047</v>
      </c>
      <c r="AF51" s="375">
        <f t="shared" si="47"/>
        <v>165020</v>
      </c>
      <c r="AG51" s="374">
        <f t="shared" si="47"/>
        <v>0</v>
      </c>
      <c r="AH51" s="374">
        <f t="shared" si="47"/>
        <v>0</v>
      </c>
      <c r="AI51" s="376">
        <f t="shared" si="47"/>
        <v>0</v>
      </c>
      <c r="AJ51" s="377">
        <v>200000</v>
      </c>
      <c r="AK51" s="374">
        <f>SUM(AK52:AK57)</f>
        <v>444000</v>
      </c>
      <c r="AL51" s="378">
        <f t="shared" si="47"/>
        <v>96859</v>
      </c>
      <c r="AM51" s="378">
        <f t="shared" si="47"/>
        <v>104904</v>
      </c>
      <c r="AN51" s="378">
        <f t="shared" si="47"/>
        <v>104904</v>
      </c>
      <c r="AO51" s="378">
        <f>SUM(AO52:AO57)</f>
        <v>115490</v>
      </c>
      <c r="AP51" s="379">
        <f t="shared" si="47"/>
        <v>243735</v>
      </c>
      <c r="AQ51" s="380">
        <f t="shared" si="47"/>
        <v>273083</v>
      </c>
      <c r="AR51" s="378">
        <f t="shared" si="47"/>
        <v>273205</v>
      </c>
      <c r="AS51" s="380">
        <f t="shared" si="47"/>
        <v>273661</v>
      </c>
      <c r="AT51" s="378">
        <f t="shared" si="47"/>
        <v>248947</v>
      </c>
      <c r="AU51" s="378">
        <f t="shared" si="47"/>
        <v>248947</v>
      </c>
      <c r="AV51" s="381">
        <f t="shared" si="47"/>
        <v>-224951</v>
      </c>
      <c r="AW51" s="378">
        <f t="shared" si="47"/>
        <v>46378</v>
      </c>
      <c r="AX51" s="382">
        <f t="shared" si="47"/>
        <v>32400</v>
      </c>
      <c r="AY51" s="377">
        <f t="shared" si="47"/>
        <v>170000</v>
      </c>
      <c r="AZ51" s="422">
        <v>322478</v>
      </c>
      <c r="BA51" s="666">
        <f>SUM(BA52:BA57)</f>
        <v>277363</v>
      </c>
      <c r="BB51" s="611">
        <f>SUM(BB52:BB57)</f>
        <v>140000</v>
      </c>
      <c r="BC51" s="611">
        <f t="shared" ref="BC51" si="48">SUM(BC52:BC57)</f>
        <v>71544</v>
      </c>
      <c r="BD51" s="611"/>
      <c r="BE51" s="611">
        <f>SUM(BE52:BE57)</f>
        <v>160000</v>
      </c>
      <c r="BF51" s="629"/>
      <c r="BG51" s="941"/>
    </row>
    <row r="52" spans="1:59" s="637" customFormat="1" ht="13.5" customHeight="1" x14ac:dyDescent="0.15">
      <c r="A52" s="637">
        <f t="shared" si="41"/>
        <v>34</v>
      </c>
      <c r="B52" s="947"/>
      <c r="C52" s="859" t="s">
        <v>149</v>
      </c>
      <c r="D52" s="884"/>
      <c r="E52" s="905"/>
      <c r="F52" s="906"/>
      <c r="G52" s="906"/>
      <c r="H52" s="906"/>
      <c r="I52" s="906"/>
      <c r="J52" s="906"/>
      <c r="K52" s="906"/>
      <c r="L52" s="906"/>
      <c r="M52" s="906"/>
      <c r="N52" s="907"/>
      <c r="O52" s="905"/>
      <c r="P52" s="906"/>
      <c r="Q52" s="906"/>
      <c r="R52" s="908"/>
      <c r="S52" s="909"/>
      <c r="T52" s="906"/>
      <c r="U52" s="906"/>
      <c r="V52" s="910"/>
      <c r="W52" s="911">
        <v>188705</v>
      </c>
      <c r="X52" s="912"/>
      <c r="Y52" s="912"/>
      <c r="Z52" s="913"/>
      <c r="AA52" s="913"/>
      <c r="AB52" s="913"/>
      <c r="AC52" s="913"/>
      <c r="AD52" s="913"/>
      <c r="AE52" s="295">
        <v>56602</v>
      </c>
      <c r="AF52" s="914"/>
      <c r="AG52" s="295"/>
      <c r="AH52" s="295"/>
      <c r="AI52" s="275"/>
      <c r="AJ52" s="1270"/>
      <c r="AK52" s="295">
        <v>69000</v>
      </c>
      <c r="AL52" s="295"/>
      <c r="AM52" s="295"/>
      <c r="AN52" s="295"/>
      <c r="AO52" s="295"/>
      <c r="AP52" s="861"/>
      <c r="AQ52" s="862"/>
      <c r="AR52" s="295"/>
      <c r="AS52" s="862"/>
      <c r="AT52" s="993">
        <v>11175</v>
      </c>
      <c r="AU52" s="993">
        <v>11175</v>
      </c>
      <c r="AV52" s="994"/>
      <c r="AW52" s="912">
        <f>AE52-AD52</f>
        <v>56602</v>
      </c>
      <c r="AX52" s="995"/>
      <c r="AY52" s="866"/>
      <c r="AZ52" s="861">
        <f>156720-AZ53-AZ54</f>
        <v>32094</v>
      </c>
      <c r="BA52" s="867">
        <v>0</v>
      </c>
      <c r="BB52" s="707">
        <v>30000</v>
      </c>
      <c r="BC52" s="707">
        <v>0</v>
      </c>
      <c r="BD52" s="724"/>
      <c r="BE52" s="724">
        <v>20000</v>
      </c>
      <c r="BF52" s="275"/>
      <c r="BG52" s="941"/>
    </row>
    <row r="53" spans="1:59" s="637" customFormat="1" ht="13.5" customHeight="1" x14ac:dyDescent="0.15">
      <c r="A53" s="637">
        <f t="shared" si="41"/>
        <v>35</v>
      </c>
      <c r="B53" s="947"/>
      <c r="C53" s="859" t="s">
        <v>28</v>
      </c>
      <c r="D53" s="884"/>
      <c r="E53" s="905"/>
      <c r="F53" s="906"/>
      <c r="G53" s="906"/>
      <c r="H53" s="906"/>
      <c r="I53" s="906"/>
      <c r="J53" s="906"/>
      <c r="K53" s="906"/>
      <c r="L53" s="906"/>
      <c r="M53" s="906"/>
      <c r="N53" s="907"/>
      <c r="O53" s="905"/>
      <c r="P53" s="906"/>
      <c r="Q53" s="906"/>
      <c r="R53" s="908"/>
      <c r="S53" s="909"/>
      <c r="T53" s="906"/>
      <c r="U53" s="906"/>
      <c r="V53" s="910"/>
      <c r="W53" s="911"/>
      <c r="X53" s="912">
        <v>10152</v>
      </c>
      <c r="Y53" s="912">
        <v>10152</v>
      </c>
      <c r="Z53" s="913">
        <v>39846</v>
      </c>
      <c r="AA53" s="913">
        <v>44582</v>
      </c>
      <c r="AB53" s="913">
        <v>44582</v>
      </c>
      <c r="AC53" s="913">
        <v>54054</v>
      </c>
      <c r="AD53" s="913">
        <v>54054</v>
      </c>
      <c r="AE53" s="295">
        <v>63522</v>
      </c>
      <c r="AF53" s="914">
        <f>Z53-Y53</f>
        <v>29694</v>
      </c>
      <c r="AG53" s="295"/>
      <c r="AH53" s="295"/>
      <c r="AI53" s="275"/>
      <c r="AJ53" s="1271"/>
      <c r="AK53" s="295">
        <v>17000</v>
      </c>
      <c r="AL53" s="295">
        <v>16868</v>
      </c>
      <c r="AM53" s="295">
        <v>16868</v>
      </c>
      <c r="AN53" s="295">
        <v>16868</v>
      </c>
      <c r="AO53" s="295">
        <v>16868</v>
      </c>
      <c r="AP53" s="861">
        <v>16868</v>
      </c>
      <c r="AQ53" s="862">
        <v>16868</v>
      </c>
      <c r="AR53" s="295">
        <v>16868</v>
      </c>
      <c r="AS53" s="862">
        <v>16868</v>
      </c>
      <c r="AT53" s="993">
        <v>16868</v>
      </c>
      <c r="AU53" s="993">
        <v>16868</v>
      </c>
      <c r="AV53" s="994">
        <f>AT53-AC53</f>
        <v>-37186</v>
      </c>
      <c r="AW53" s="912">
        <f>AE53-AD53</f>
        <v>9468</v>
      </c>
      <c r="AX53" s="995">
        <v>0</v>
      </c>
      <c r="AY53" s="866">
        <v>17000</v>
      </c>
      <c r="AZ53" s="861">
        <f>4734+6227+5907</f>
        <v>16868</v>
      </c>
      <c r="BA53" s="867">
        <v>0</v>
      </c>
      <c r="BB53" s="707">
        <v>0</v>
      </c>
      <c r="BC53" s="707">
        <v>0</v>
      </c>
      <c r="BD53" s="1231"/>
      <c r="BE53" s="724">
        <v>0</v>
      </c>
      <c r="BF53" s="275"/>
      <c r="BG53" s="941"/>
    </row>
    <row r="54" spans="1:59" s="637" customFormat="1" ht="13.5" customHeight="1" x14ac:dyDescent="0.15">
      <c r="A54" s="637">
        <f t="shared" si="41"/>
        <v>36</v>
      </c>
      <c r="B54" s="947"/>
      <c r="C54" s="903" t="s">
        <v>29</v>
      </c>
      <c r="D54" s="884"/>
      <c r="E54" s="905"/>
      <c r="F54" s="906"/>
      <c r="G54" s="906"/>
      <c r="H54" s="906"/>
      <c r="I54" s="906"/>
      <c r="J54" s="906"/>
      <c r="K54" s="906"/>
      <c r="L54" s="906"/>
      <c r="M54" s="906"/>
      <c r="N54" s="907"/>
      <c r="O54" s="905"/>
      <c r="P54" s="906"/>
      <c r="Q54" s="906"/>
      <c r="R54" s="908"/>
      <c r="S54" s="909"/>
      <c r="T54" s="906"/>
      <c r="U54" s="906"/>
      <c r="V54" s="910"/>
      <c r="W54" s="911"/>
      <c r="X54" s="912">
        <v>16266</v>
      </c>
      <c r="Y54" s="912">
        <v>16266</v>
      </c>
      <c r="Z54" s="913">
        <v>16266</v>
      </c>
      <c r="AA54" s="913">
        <v>16266</v>
      </c>
      <c r="AB54" s="913">
        <v>16266</v>
      </c>
      <c r="AC54" s="913">
        <v>91250</v>
      </c>
      <c r="AD54" s="913">
        <v>91250</v>
      </c>
      <c r="AE54" s="295">
        <v>91250</v>
      </c>
      <c r="AF54" s="914">
        <f>Z54-Y54</f>
        <v>0</v>
      </c>
      <c r="AG54" s="295" t="s">
        <v>32</v>
      </c>
      <c r="AH54" s="295" t="s">
        <v>145</v>
      </c>
      <c r="AI54" s="275" t="s">
        <v>145</v>
      </c>
      <c r="AJ54" s="1271"/>
      <c r="AK54" s="996">
        <v>91000</v>
      </c>
      <c r="AL54" s="295">
        <v>16266</v>
      </c>
      <c r="AM54" s="295">
        <v>16266</v>
      </c>
      <c r="AN54" s="295">
        <v>16266</v>
      </c>
      <c r="AO54" s="295">
        <v>16266</v>
      </c>
      <c r="AP54" s="861">
        <v>16266</v>
      </c>
      <c r="AQ54" s="862">
        <v>16266</v>
      </c>
      <c r="AR54" s="295">
        <v>16266</v>
      </c>
      <c r="AS54" s="862">
        <v>16266</v>
      </c>
      <c r="AT54" s="993">
        <v>55146</v>
      </c>
      <c r="AU54" s="993">
        <v>55146</v>
      </c>
      <c r="AV54" s="994">
        <f>AT54-AC54</f>
        <v>-36104</v>
      </c>
      <c r="AW54" s="912">
        <f>AE54-AD54</f>
        <v>0</v>
      </c>
      <c r="AX54" s="995">
        <v>32400</v>
      </c>
      <c r="AY54" s="866">
        <v>91000</v>
      </c>
      <c r="AZ54" s="861">
        <f>10800+5466+38880+1852+50760</f>
        <v>107758</v>
      </c>
      <c r="BA54" s="998">
        <v>69852</v>
      </c>
      <c r="BB54" s="998">
        <v>70000</v>
      </c>
      <c r="BC54" s="725">
        <v>67254</v>
      </c>
      <c r="BD54" s="1233" t="s">
        <v>289</v>
      </c>
      <c r="BE54" s="1230">
        <v>100000</v>
      </c>
      <c r="BF54" s="999" t="s">
        <v>290</v>
      </c>
      <c r="BG54" s="941"/>
    </row>
    <row r="55" spans="1:59" s="637" customFormat="1" ht="13.5" customHeight="1" x14ac:dyDescent="0.15">
      <c r="A55" s="637">
        <f t="shared" si="41"/>
        <v>37</v>
      </c>
      <c r="B55" s="947"/>
      <c r="C55" s="903" t="s">
        <v>207</v>
      </c>
      <c r="D55" s="884"/>
      <c r="E55" s="905"/>
      <c r="F55" s="906"/>
      <c r="G55" s="906"/>
      <c r="H55" s="906"/>
      <c r="I55" s="906"/>
      <c r="J55" s="906"/>
      <c r="K55" s="906"/>
      <c r="L55" s="906"/>
      <c r="M55" s="906"/>
      <c r="N55" s="907"/>
      <c r="O55" s="905"/>
      <c r="P55" s="906"/>
      <c r="Q55" s="906"/>
      <c r="R55" s="908"/>
      <c r="S55" s="909"/>
      <c r="T55" s="906"/>
      <c r="U55" s="906"/>
      <c r="V55" s="910"/>
      <c r="W55" s="911">
        <v>385273</v>
      </c>
      <c r="X55" s="912">
        <v>87994</v>
      </c>
      <c r="Y55" s="912">
        <v>87994</v>
      </c>
      <c r="Z55" s="913">
        <v>223320</v>
      </c>
      <c r="AA55" s="913">
        <v>223320</v>
      </c>
      <c r="AB55" s="913">
        <v>223665</v>
      </c>
      <c r="AC55" s="913">
        <v>223665</v>
      </c>
      <c r="AD55" s="913">
        <v>223665</v>
      </c>
      <c r="AE55" s="295">
        <v>199912</v>
      </c>
      <c r="AF55" s="914">
        <v>135326</v>
      </c>
      <c r="AG55" s="295"/>
      <c r="AH55" s="295"/>
      <c r="AI55" s="275"/>
      <c r="AJ55" s="1271"/>
      <c r="AK55" s="295">
        <v>205000</v>
      </c>
      <c r="AL55" s="295">
        <v>9869</v>
      </c>
      <c r="AM55" s="295">
        <v>9869</v>
      </c>
      <c r="AN55" s="295">
        <v>9869</v>
      </c>
      <c r="AO55" s="295">
        <v>74518</v>
      </c>
      <c r="AP55" s="861">
        <v>148562</v>
      </c>
      <c r="AQ55" s="862">
        <v>177910</v>
      </c>
      <c r="AR55" s="295">
        <v>178032</v>
      </c>
      <c r="AS55" s="862">
        <v>178488</v>
      </c>
      <c r="AT55" s="993">
        <v>103719</v>
      </c>
      <c r="AU55" s="993">
        <v>103719</v>
      </c>
      <c r="AV55" s="994"/>
      <c r="AW55" s="912">
        <f>AE55-AD55</f>
        <v>-23753</v>
      </c>
      <c r="AX55" s="995"/>
      <c r="AY55" s="866"/>
      <c r="AZ55" s="861">
        <f>104767-1048</f>
        <v>103719</v>
      </c>
      <c r="BA55" s="998">
        <f>104520+96256</f>
        <v>200776</v>
      </c>
      <c r="BB55" s="998">
        <v>30000</v>
      </c>
      <c r="BC55" s="725">
        <v>4290</v>
      </c>
      <c r="BD55" s="1232"/>
      <c r="BE55" s="724">
        <v>30000</v>
      </c>
      <c r="BF55" s="275"/>
      <c r="BG55" s="941"/>
    </row>
    <row r="56" spans="1:59" s="637" customFormat="1" ht="13.5" customHeight="1" x14ac:dyDescent="0.15">
      <c r="A56" s="637">
        <f t="shared" si="41"/>
        <v>38</v>
      </c>
      <c r="B56" s="947"/>
      <c r="C56" s="903" t="s">
        <v>33</v>
      </c>
      <c r="D56" s="884"/>
      <c r="E56" s="885"/>
      <c r="F56" s="886"/>
      <c r="G56" s="886"/>
      <c r="H56" s="886"/>
      <c r="I56" s="886"/>
      <c r="J56" s="886"/>
      <c r="K56" s="886"/>
      <c r="L56" s="886"/>
      <c r="M56" s="886"/>
      <c r="N56" s="887"/>
      <c r="O56" s="885"/>
      <c r="P56" s="886"/>
      <c r="Q56" s="886"/>
      <c r="R56" s="888"/>
      <c r="S56" s="889"/>
      <c r="T56" s="886"/>
      <c r="U56" s="886"/>
      <c r="V56" s="890"/>
      <c r="W56" s="891"/>
      <c r="X56" s="892">
        <v>6224</v>
      </c>
      <c r="Y56" s="892">
        <v>6224</v>
      </c>
      <c r="Z56" s="893">
        <v>6224</v>
      </c>
      <c r="AA56" s="893">
        <v>6224</v>
      </c>
      <c r="AB56" s="893">
        <v>6224</v>
      </c>
      <c r="AC56" s="893">
        <v>6224</v>
      </c>
      <c r="AD56" s="893">
        <v>6224</v>
      </c>
      <c r="AE56" s="894">
        <v>10285</v>
      </c>
      <c r="AF56" s="895">
        <v>0</v>
      </c>
      <c r="AG56" s="894"/>
      <c r="AH56" s="894"/>
      <c r="AI56" s="896"/>
      <c r="AJ56" s="1271"/>
      <c r="AK56" s="894">
        <v>1000</v>
      </c>
      <c r="AL56" s="892">
        <v>0</v>
      </c>
      <c r="AM56" s="892">
        <v>1048</v>
      </c>
      <c r="AN56" s="892">
        <v>1048</v>
      </c>
      <c r="AO56" s="892">
        <v>1048</v>
      </c>
      <c r="AP56" s="971">
        <v>1048</v>
      </c>
      <c r="AQ56" s="893">
        <v>1048</v>
      </c>
      <c r="AR56" s="892">
        <v>1048</v>
      </c>
      <c r="AS56" s="893">
        <v>1048</v>
      </c>
      <c r="AT56" s="892">
        <v>1048</v>
      </c>
      <c r="AU56" s="892">
        <v>1048</v>
      </c>
      <c r="AV56" s="943">
        <v>-5176</v>
      </c>
      <c r="AW56" s="892">
        <v>4061</v>
      </c>
      <c r="AX56" s="901">
        <v>0</v>
      </c>
      <c r="AY56" s="897">
        <v>1000</v>
      </c>
      <c r="AZ56" s="898">
        <v>1048</v>
      </c>
      <c r="BA56" s="902">
        <v>0</v>
      </c>
      <c r="BB56" s="716">
        <v>0</v>
      </c>
      <c r="BC56" s="716">
        <v>0</v>
      </c>
      <c r="BD56" s="719"/>
      <c r="BE56" s="719">
        <v>0</v>
      </c>
      <c r="BF56" s="944"/>
      <c r="BG56" s="941"/>
    </row>
    <row r="57" spans="1:59" s="637" customFormat="1" ht="13.5" customHeight="1" x14ac:dyDescent="0.15">
      <c r="A57" s="637">
        <f t="shared" si="41"/>
        <v>39</v>
      </c>
      <c r="B57" s="947"/>
      <c r="C57" s="1000" t="s">
        <v>11</v>
      </c>
      <c r="D57" s="972"/>
      <c r="E57" s="973"/>
      <c r="F57" s="974"/>
      <c r="G57" s="974"/>
      <c r="H57" s="974"/>
      <c r="I57" s="974"/>
      <c r="J57" s="974"/>
      <c r="K57" s="974"/>
      <c r="L57" s="974"/>
      <c r="M57" s="974"/>
      <c r="N57" s="975"/>
      <c r="O57" s="973"/>
      <c r="P57" s="974"/>
      <c r="Q57" s="974"/>
      <c r="R57" s="976"/>
      <c r="S57" s="977"/>
      <c r="T57" s="974"/>
      <c r="U57" s="974"/>
      <c r="V57" s="978"/>
      <c r="W57" s="979">
        <v>2636</v>
      </c>
      <c r="X57" s="980">
        <v>207476</v>
      </c>
      <c r="Y57" s="980">
        <v>207476</v>
      </c>
      <c r="Z57" s="981">
        <v>207476</v>
      </c>
      <c r="AA57" s="981">
        <v>207476</v>
      </c>
      <c r="AB57" s="981">
        <v>207476</v>
      </c>
      <c r="AC57" s="981">
        <v>207476</v>
      </c>
      <c r="AD57" s="981">
        <v>207476</v>
      </c>
      <c r="AE57" s="982">
        <v>207476</v>
      </c>
      <c r="AF57" s="983">
        <v>0</v>
      </c>
      <c r="AG57" s="982"/>
      <c r="AH57" s="982"/>
      <c r="AI57" s="984"/>
      <c r="AJ57" s="1286"/>
      <c r="AK57" s="982">
        <v>61000</v>
      </c>
      <c r="AL57" s="980">
        <v>53856</v>
      </c>
      <c r="AM57" s="980">
        <v>60853</v>
      </c>
      <c r="AN57" s="980">
        <v>60853</v>
      </c>
      <c r="AO57" s="980">
        <v>6790</v>
      </c>
      <c r="AP57" s="1001">
        <v>60991</v>
      </c>
      <c r="AQ57" s="981">
        <v>60991</v>
      </c>
      <c r="AR57" s="980">
        <v>60991</v>
      </c>
      <c r="AS57" s="981">
        <v>60991</v>
      </c>
      <c r="AT57" s="980">
        <v>60991</v>
      </c>
      <c r="AU57" s="980">
        <v>60991</v>
      </c>
      <c r="AV57" s="987">
        <v>-146485</v>
      </c>
      <c r="AW57" s="980">
        <v>0</v>
      </c>
      <c r="AX57" s="988">
        <v>0</v>
      </c>
      <c r="AY57" s="989">
        <v>61000</v>
      </c>
      <c r="AZ57" s="990">
        <v>60991</v>
      </c>
      <c r="BA57" s="991">
        <v>6735</v>
      </c>
      <c r="BB57" s="727">
        <v>10000</v>
      </c>
      <c r="BC57" s="727">
        <v>0</v>
      </c>
      <c r="BD57" s="723"/>
      <c r="BE57" s="723">
        <v>10000</v>
      </c>
      <c r="BF57" s="992"/>
      <c r="BG57" s="941"/>
    </row>
    <row r="58" spans="1:59" s="637" customFormat="1" ht="15" customHeight="1" x14ac:dyDescent="0.15">
      <c r="A58" s="637">
        <f t="shared" si="41"/>
        <v>40</v>
      </c>
      <c r="B58" s="940" t="s">
        <v>183</v>
      </c>
      <c r="C58" s="365"/>
      <c r="D58" s="366"/>
      <c r="E58" s="367"/>
      <c r="F58" s="368"/>
      <c r="G58" s="368"/>
      <c r="H58" s="368"/>
      <c r="I58" s="368"/>
      <c r="J58" s="368"/>
      <c r="K58" s="368"/>
      <c r="L58" s="368"/>
      <c r="M58" s="368"/>
      <c r="N58" s="369"/>
      <c r="O58" s="367"/>
      <c r="P58" s="368"/>
      <c r="Q58" s="368"/>
      <c r="R58" s="370"/>
      <c r="S58" s="371"/>
      <c r="T58" s="368"/>
      <c r="U58" s="368"/>
      <c r="V58" s="372"/>
      <c r="W58" s="373"/>
      <c r="X58" s="378"/>
      <c r="Y58" s="378"/>
      <c r="Z58" s="380"/>
      <c r="AA58" s="380"/>
      <c r="AB58" s="380"/>
      <c r="AC58" s="380"/>
      <c r="AD58" s="380"/>
      <c r="AE58" s="374">
        <v>95400</v>
      </c>
      <c r="AF58" s="375"/>
      <c r="AG58" s="374"/>
      <c r="AH58" s="374"/>
      <c r="AI58" s="376"/>
      <c r="AJ58" s="377">
        <v>100000</v>
      </c>
      <c r="AK58" s="374">
        <v>100000</v>
      </c>
      <c r="AL58" s="378">
        <v>683</v>
      </c>
      <c r="AM58" s="378">
        <v>683</v>
      </c>
      <c r="AN58" s="378">
        <v>683</v>
      </c>
      <c r="AO58" s="378"/>
      <c r="AP58" s="379"/>
      <c r="AQ58" s="380"/>
      <c r="AR58" s="378"/>
      <c r="AS58" s="380"/>
      <c r="AT58" s="378">
        <v>79575</v>
      </c>
      <c r="AU58" s="378">
        <v>79575</v>
      </c>
      <c r="AV58" s="381"/>
      <c r="AW58" s="378">
        <v>0</v>
      </c>
      <c r="AX58" s="382"/>
      <c r="AY58" s="377"/>
      <c r="AZ58" s="422">
        <v>79575</v>
      </c>
      <c r="BA58" s="666">
        <v>151507</v>
      </c>
      <c r="BB58" s="611">
        <v>150000</v>
      </c>
      <c r="BC58" s="611">
        <v>70042</v>
      </c>
      <c r="BD58" s="611" t="s">
        <v>311</v>
      </c>
      <c r="BE58" s="611">
        <v>150000</v>
      </c>
      <c r="BF58" s="629" t="s">
        <v>312</v>
      </c>
      <c r="BG58" s="941"/>
    </row>
    <row r="59" spans="1:59" s="637" customFormat="1" ht="15" customHeight="1" x14ac:dyDescent="0.15">
      <c r="A59" s="637">
        <f t="shared" si="41"/>
        <v>41</v>
      </c>
      <c r="B59" s="1002" t="s">
        <v>184</v>
      </c>
      <c r="C59" s="1003"/>
      <c r="D59" s="1004"/>
      <c r="E59" s="401">
        <v>1932000</v>
      </c>
      <c r="F59" s="402">
        <v>0</v>
      </c>
      <c r="G59" s="402">
        <v>1814400</v>
      </c>
      <c r="H59" s="402">
        <v>0</v>
      </c>
      <c r="I59" s="402">
        <v>0</v>
      </c>
      <c r="J59" s="402">
        <v>1279870</v>
      </c>
      <c r="K59" s="402">
        <v>931455</v>
      </c>
      <c r="L59" s="402">
        <v>2036160</v>
      </c>
      <c r="M59" s="402">
        <v>773220</v>
      </c>
      <c r="N59" s="403">
        <v>1649969</v>
      </c>
      <c r="O59" s="401">
        <v>1347150</v>
      </c>
      <c r="P59" s="402">
        <v>651000</v>
      </c>
      <c r="Q59" s="402">
        <v>1581750</v>
      </c>
      <c r="R59" s="404">
        <v>630000</v>
      </c>
      <c r="S59" s="405">
        <v>577500</v>
      </c>
      <c r="T59" s="402">
        <v>1050000</v>
      </c>
      <c r="U59" s="402">
        <v>496800</v>
      </c>
      <c r="V59" s="406">
        <v>1036800</v>
      </c>
      <c r="W59" s="407">
        <v>824681</v>
      </c>
      <c r="X59" s="412">
        <v>934200</v>
      </c>
      <c r="Y59" s="412">
        <v>934200</v>
      </c>
      <c r="Z59" s="414">
        <v>934200</v>
      </c>
      <c r="AA59" s="414">
        <v>934200</v>
      </c>
      <c r="AB59" s="414">
        <v>934200</v>
      </c>
      <c r="AC59" s="414">
        <v>934200</v>
      </c>
      <c r="AD59" s="414">
        <v>934200</v>
      </c>
      <c r="AE59" s="408">
        <v>1533600</v>
      </c>
      <c r="AF59" s="409">
        <v>0</v>
      </c>
      <c r="AG59" s="408"/>
      <c r="AH59" s="408"/>
      <c r="AI59" s="410"/>
      <c r="AJ59" s="411">
        <v>1300000</v>
      </c>
      <c r="AK59" s="408">
        <v>950000</v>
      </c>
      <c r="AL59" s="412">
        <v>82</v>
      </c>
      <c r="AM59" s="412">
        <v>0</v>
      </c>
      <c r="AN59" s="412">
        <v>0</v>
      </c>
      <c r="AO59" s="412">
        <v>82</v>
      </c>
      <c r="AP59" s="413">
        <v>578880</v>
      </c>
      <c r="AQ59" s="414">
        <v>587649</v>
      </c>
      <c r="AR59" s="412">
        <v>587649</v>
      </c>
      <c r="AS59" s="414">
        <v>587649</v>
      </c>
      <c r="AT59" s="412">
        <v>587649</v>
      </c>
      <c r="AU59" s="412">
        <v>587649</v>
      </c>
      <c r="AV59" s="415">
        <v>-346551</v>
      </c>
      <c r="AW59" s="412">
        <v>599400</v>
      </c>
      <c r="AX59" s="416">
        <v>0</v>
      </c>
      <c r="AY59" s="411">
        <v>950000</v>
      </c>
      <c r="AZ59" s="452">
        <v>587649</v>
      </c>
      <c r="BA59" s="668">
        <v>1224798</v>
      </c>
      <c r="BB59" s="613">
        <v>1100000</v>
      </c>
      <c r="BC59" s="613">
        <v>547250</v>
      </c>
      <c r="BD59" s="613" t="s">
        <v>311</v>
      </c>
      <c r="BE59" s="613">
        <v>1100000</v>
      </c>
      <c r="BF59" s="1005" t="s">
        <v>313</v>
      </c>
      <c r="BG59" s="941"/>
    </row>
    <row r="60" spans="1:59" s="637" customFormat="1" ht="15" customHeight="1" x14ac:dyDescent="0.15">
      <c r="A60" s="637">
        <f t="shared" si="41"/>
        <v>42</v>
      </c>
      <c r="B60" s="940" t="s">
        <v>277</v>
      </c>
      <c r="C60" s="1006"/>
      <c r="D60" s="1007"/>
      <c r="E60" s="367">
        <v>162072</v>
      </c>
      <c r="F60" s="368">
        <v>0</v>
      </c>
      <c r="G60" s="368">
        <v>300400</v>
      </c>
      <c r="H60" s="368">
        <v>595000</v>
      </c>
      <c r="I60" s="368">
        <v>0</v>
      </c>
      <c r="J60" s="368">
        <v>610525</v>
      </c>
      <c r="K60" s="368">
        <v>681525</v>
      </c>
      <c r="L60" s="368">
        <v>619500</v>
      </c>
      <c r="M60" s="368">
        <v>661050</v>
      </c>
      <c r="N60" s="369">
        <v>600180</v>
      </c>
      <c r="O60" s="367">
        <v>599550</v>
      </c>
      <c r="P60" s="368">
        <v>599550</v>
      </c>
      <c r="Q60" s="368">
        <v>599550</v>
      </c>
      <c r="R60" s="370">
        <v>625800</v>
      </c>
      <c r="S60" s="371">
        <v>599550</v>
      </c>
      <c r="T60" s="368">
        <v>586425</v>
      </c>
      <c r="U60" s="368">
        <v>454140</v>
      </c>
      <c r="V60" s="372">
        <v>560864</v>
      </c>
      <c r="W60" s="373">
        <v>559332</v>
      </c>
      <c r="X60" s="378">
        <v>0</v>
      </c>
      <c r="Y60" s="378">
        <v>0</v>
      </c>
      <c r="Z60" s="380">
        <v>270000</v>
      </c>
      <c r="AA60" s="380">
        <v>270000</v>
      </c>
      <c r="AB60" s="380">
        <v>270000</v>
      </c>
      <c r="AC60" s="380">
        <v>270000</v>
      </c>
      <c r="AD60" s="380">
        <v>270000</v>
      </c>
      <c r="AE60" s="374">
        <v>540000</v>
      </c>
      <c r="AF60" s="375">
        <v>270000</v>
      </c>
      <c r="AG60" s="374"/>
      <c r="AH60" s="374"/>
      <c r="AI60" s="376"/>
      <c r="AJ60" s="377">
        <v>540000</v>
      </c>
      <c r="AK60" s="374">
        <v>540000</v>
      </c>
      <c r="AL60" s="378">
        <v>0</v>
      </c>
      <c r="AM60" s="378">
        <v>0</v>
      </c>
      <c r="AN60" s="378">
        <v>0</v>
      </c>
      <c r="AO60" s="378">
        <v>0</v>
      </c>
      <c r="AP60" s="379">
        <v>0</v>
      </c>
      <c r="AQ60" s="380">
        <v>270000</v>
      </c>
      <c r="AR60" s="378">
        <v>270000</v>
      </c>
      <c r="AS60" s="380">
        <v>270000</v>
      </c>
      <c r="AT60" s="378">
        <v>270000</v>
      </c>
      <c r="AU60" s="378">
        <v>270000</v>
      </c>
      <c r="AV60" s="381">
        <v>0</v>
      </c>
      <c r="AW60" s="378">
        <v>270000</v>
      </c>
      <c r="AX60" s="382">
        <v>270000</v>
      </c>
      <c r="AY60" s="377">
        <v>540000</v>
      </c>
      <c r="AZ60" s="422">
        <v>540000</v>
      </c>
      <c r="BA60" s="666">
        <v>0</v>
      </c>
      <c r="BB60" s="613">
        <v>200000</v>
      </c>
      <c r="BC60" s="611">
        <v>0</v>
      </c>
      <c r="BD60" s="683"/>
      <c r="BE60" s="683">
        <v>300000</v>
      </c>
      <c r="BF60" s="629" t="s">
        <v>291</v>
      </c>
      <c r="BG60" s="941"/>
    </row>
    <row r="61" spans="1:59" s="637" customFormat="1" ht="15" customHeight="1" x14ac:dyDescent="0.15">
      <c r="A61" s="637">
        <f t="shared" si="41"/>
        <v>43</v>
      </c>
      <c r="B61" s="940" t="s">
        <v>185</v>
      </c>
      <c r="C61" s="1006"/>
      <c r="D61" s="1007"/>
      <c r="E61" s="367">
        <f>SUM(E62:E64)</f>
        <v>315000</v>
      </c>
      <c r="F61" s="368">
        <f t="shared" ref="F61:AY61" si="49">SUM(F62:F64)</f>
        <v>0</v>
      </c>
      <c r="G61" s="368">
        <f t="shared" si="49"/>
        <v>425565</v>
      </c>
      <c r="H61" s="368">
        <f t="shared" si="49"/>
        <v>450000</v>
      </c>
      <c r="I61" s="368">
        <f t="shared" si="49"/>
        <v>0</v>
      </c>
      <c r="J61" s="368">
        <f t="shared" si="49"/>
        <v>624000</v>
      </c>
      <c r="K61" s="368">
        <f t="shared" si="49"/>
        <v>720000</v>
      </c>
      <c r="L61" s="368">
        <f t="shared" si="49"/>
        <v>0</v>
      </c>
      <c r="M61" s="368">
        <f t="shared" si="49"/>
        <v>1134050</v>
      </c>
      <c r="N61" s="369">
        <f t="shared" si="49"/>
        <v>425460</v>
      </c>
      <c r="O61" s="367">
        <f t="shared" si="49"/>
        <v>414750</v>
      </c>
      <c r="P61" s="368">
        <f t="shared" si="49"/>
        <v>456750</v>
      </c>
      <c r="Q61" s="368">
        <f t="shared" si="49"/>
        <v>456750</v>
      </c>
      <c r="R61" s="370">
        <f t="shared" si="49"/>
        <v>451500</v>
      </c>
      <c r="S61" s="371">
        <f t="shared" si="49"/>
        <v>451500</v>
      </c>
      <c r="T61" s="368">
        <f t="shared" si="49"/>
        <v>441000</v>
      </c>
      <c r="U61" s="368">
        <f t="shared" si="49"/>
        <v>453600</v>
      </c>
      <c r="V61" s="372">
        <f t="shared" si="49"/>
        <v>381240</v>
      </c>
      <c r="W61" s="373">
        <f t="shared" si="49"/>
        <v>0</v>
      </c>
      <c r="X61" s="378">
        <f t="shared" si="49"/>
        <v>543020</v>
      </c>
      <c r="Y61" s="378">
        <f t="shared" si="49"/>
        <v>543020</v>
      </c>
      <c r="Z61" s="380">
        <f t="shared" si="49"/>
        <v>543020</v>
      </c>
      <c r="AA61" s="380">
        <f t="shared" si="49"/>
        <v>543020</v>
      </c>
      <c r="AB61" s="380">
        <f t="shared" si="49"/>
        <v>543020</v>
      </c>
      <c r="AC61" s="380">
        <f t="shared" si="49"/>
        <v>543020</v>
      </c>
      <c r="AD61" s="380">
        <f t="shared" si="49"/>
        <v>543020</v>
      </c>
      <c r="AE61" s="374">
        <f t="shared" si="49"/>
        <v>543020</v>
      </c>
      <c r="AF61" s="375">
        <f t="shared" si="49"/>
        <v>0</v>
      </c>
      <c r="AG61" s="374">
        <f t="shared" si="49"/>
        <v>0</v>
      </c>
      <c r="AH61" s="374">
        <f t="shared" si="49"/>
        <v>0</v>
      </c>
      <c r="AI61" s="376">
        <f t="shared" si="49"/>
        <v>0</v>
      </c>
      <c r="AJ61" s="377">
        <f t="shared" si="49"/>
        <v>440000</v>
      </c>
      <c r="AK61" s="374">
        <f>SUM(AK62:AK64)</f>
        <v>320000</v>
      </c>
      <c r="AL61" s="378">
        <f t="shared" si="49"/>
        <v>377302</v>
      </c>
      <c r="AM61" s="378">
        <f t="shared" si="49"/>
        <v>373140</v>
      </c>
      <c r="AN61" s="378">
        <f t="shared" si="49"/>
        <v>373140</v>
      </c>
      <c r="AO61" s="378">
        <f>SUM(AO62:AO64)</f>
        <v>369900</v>
      </c>
      <c r="AP61" s="379">
        <f t="shared" si="49"/>
        <v>369900</v>
      </c>
      <c r="AQ61" s="380">
        <f t="shared" si="49"/>
        <v>369900</v>
      </c>
      <c r="AR61" s="378">
        <f t="shared" si="49"/>
        <v>369900</v>
      </c>
      <c r="AS61" s="380">
        <f t="shared" si="49"/>
        <v>369900</v>
      </c>
      <c r="AT61" s="378">
        <f t="shared" si="49"/>
        <v>380542</v>
      </c>
      <c r="AU61" s="378">
        <f t="shared" si="49"/>
        <v>380542</v>
      </c>
      <c r="AV61" s="381">
        <f t="shared" si="49"/>
        <v>-173120</v>
      </c>
      <c r="AW61" s="378">
        <f t="shared" si="49"/>
        <v>0</v>
      </c>
      <c r="AX61" s="382">
        <f t="shared" si="49"/>
        <v>0</v>
      </c>
      <c r="AY61" s="377">
        <f t="shared" si="49"/>
        <v>320000</v>
      </c>
      <c r="AZ61" s="422">
        <f>SUM(AZ62:AZ64)</f>
        <v>383782</v>
      </c>
      <c r="BA61" s="666">
        <f>SUM(BA62:BA64)</f>
        <v>50000</v>
      </c>
      <c r="BB61" s="611">
        <f>SUM(BB62:BB64)</f>
        <v>70000</v>
      </c>
      <c r="BC61" s="611">
        <f t="shared" ref="BC61:BE61" si="50">SUM(BC62:BC64)</f>
        <v>0</v>
      </c>
      <c r="BD61" s="611"/>
      <c r="BE61" s="611">
        <f t="shared" si="50"/>
        <v>50000</v>
      </c>
      <c r="BF61" s="629"/>
      <c r="BG61" s="941"/>
    </row>
    <row r="62" spans="1:59" s="637" customFormat="1" ht="13.5" customHeight="1" x14ac:dyDescent="0.15">
      <c r="A62" s="637">
        <f t="shared" si="41"/>
        <v>44</v>
      </c>
      <c r="B62" s="942"/>
      <c r="C62" s="859" t="s">
        <v>189</v>
      </c>
      <c r="D62" s="884"/>
      <c r="E62" s="885">
        <v>315000</v>
      </c>
      <c r="F62" s="886">
        <v>0</v>
      </c>
      <c r="G62" s="886">
        <v>425565</v>
      </c>
      <c r="H62" s="886">
        <v>450000</v>
      </c>
      <c r="I62" s="886">
        <v>0</v>
      </c>
      <c r="J62" s="886">
        <v>624000</v>
      </c>
      <c r="K62" s="886">
        <v>720000</v>
      </c>
      <c r="L62" s="886">
        <v>0</v>
      </c>
      <c r="M62" s="886">
        <v>1134050</v>
      </c>
      <c r="N62" s="887">
        <v>425460</v>
      </c>
      <c r="O62" s="885">
        <v>414750</v>
      </c>
      <c r="P62" s="886">
        <v>456750</v>
      </c>
      <c r="Q62" s="886">
        <v>456750</v>
      </c>
      <c r="R62" s="888">
        <v>451500</v>
      </c>
      <c r="S62" s="889">
        <v>451500</v>
      </c>
      <c r="T62" s="886">
        <v>441000</v>
      </c>
      <c r="U62" s="886">
        <v>453600</v>
      </c>
      <c r="V62" s="890">
        <v>381240</v>
      </c>
      <c r="W62" s="891">
        <v>0</v>
      </c>
      <c r="X62" s="892">
        <v>523800</v>
      </c>
      <c r="Y62" s="892">
        <v>523800</v>
      </c>
      <c r="Z62" s="893">
        <v>523800</v>
      </c>
      <c r="AA62" s="893">
        <v>523800</v>
      </c>
      <c r="AB62" s="893">
        <v>523800</v>
      </c>
      <c r="AC62" s="893">
        <v>523800</v>
      </c>
      <c r="AD62" s="893">
        <v>523800</v>
      </c>
      <c r="AE62" s="894">
        <v>523800</v>
      </c>
      <c r="AF62" s="895">
        <v>0</v>
      </c>
      <c r="AG62" s="894"/>
      <c r="AH62" s="894"/>
      <c r="AI62" s="896"/>
      <c r="AJ62" s="897">
        <v>400000</v>
      </c>
      <c r="AK62" s="894">
        <v>281000</v>
      </c>
      <c r="AL62" s="892">
        <v>280800</v>
      </c>
      <c r="AM62" s="892">
        <v>280800</v>
      </c>
      <c r="AN62" s="892">
        <v>280800</v>
      </c>
      <c r="AO62" s="892">
        <v>280800</v>
      </c>
      <c r="AP62" s="971">
        <v>280800</v>
      </c>
      <c r="AQ62" s="893">
        <v>280800</v>
      </c>
      <c r="AR62" s="892">
        <v>280800</v>
      </c>
      <c r="AS62" s="893">
        <v>280800</v>
      </c>
      <c r="AT62" s="892">
        <v>280800</v>
      </c>
      <c r="AU62" s="892">
        <v>280800</v>
      </c>
      <c r="AV62" s="943">
        <v>-243000</v>
      </c>
      <c r="AW62" s="892">
        <v>0</v>
      </c>
      <c r="AX62" s="901">
        <v>0</v>
      </c>
      <c r="AY62" s="897">
        <v>281000</v>
      </c>
      <c r="AZ62" s="898">
        <v>280800</v>
      </c>
      <c r="BA62" s="902">
        <v>0</v>
      </c>
      <c r="BB62" s="716">
        <v>10000</v>
      </c>
      <c r="BC62" s="716">
        <v>0</v>
      </c>
      <c r="BD62" s="719"/>
      <c r="BE62" s="719">
        <v>0</v>
      </c>
      <c r="BF62" s="944"/>
      <c r="BG62" s="941"/>
    </row>
    <row r="63" spans="1:59" s="637" customFormat="1" ht="13.5" customHeight="1" x14ac:dyDescent="0.15">
      <c r="A63" s="637">
        <f t="shared" si="41"/>
        <v>45</v>
      </c>
      <c r="B63" s="942"/>
      <c r="C63" s="903" t="s">
        <v>152</v>
      </c>
      <c r="D63" s="904"/>
      <c r="E63" s="905"/>
      <c r="F63" s="906"/>
      <c r="G63" s="906"/>
      <c r="H63" s="906"/>
      <c r="I63" s="906"/>
      <c r="J63" s="906"/>
      <c r="K63" s="906"/>
      <c r="L63" s="906"/>
      <c r="M63" s="906"/>
      <c r="N63" s="907"/>
      <c r="O63" s="905"/>
      <c r="P63" s="906"/>
      <c r="Q63" s="906"/>
      <c r="R63" s="908"/>
      <c r="S63" s="909"/>
      <c r="T63" s="906"/>
      <c r="U63" s="906"/>
      <c r="V63" s="910"/>
      <c r="W63" s="1008"/>
      <c r="X63" s="1009">
        <v>19220</v>
      </c>
      <c r="Y63" s="1009">
        <v>19220</v>
      </c>
      <c r="Z63" s="1010">
        <v>19220</v>
      </c>
      <c r="AA63" s="1010">
        <v>19220</v>
      </c>
      <c r="AB63" s="1010">
        <v>19220</v>
      </c>
      <c r="AC63" s="1010">
        <v>19220</v>
      </c>
      <c r="AD63" s="1010">
        <v>19220</v>
      </c>
      <c r="AE63" s="295">
        <v>19220</v>
      </c>
      <c r="AF63" s="914">
        <f>Z63-Y63</f>
        <v>0</v>
      </c>
      <c r="AG63" s="295" t="s">
        <v>34</v>
      </c>
      <c r="AH63" s="295" t="s">
        <v>34</v>
      </c>
      <c r="AI63" s="275" t="s">
        <v>34</v>
      </c>
      <c r="AJ63" s="1011">
        <v>40000</v>
      </c>
      <c r="AK63" s="295">
        <v>39000</v>
      </c>
      <c r="AL63" s="867">
        <v>85860</v>
      </c>
      <c r="AM63" s="867">
        <v>89100</v>
      </c>
      <c r="AN63" s="867">
        <v>89100</v>
      </c>
      <c r="AO63" s="867">
        <v>89100</v>
      </c>
      <c r="AP63" s="1012">
        <v>89100</v>
      </c>
      <c r="AQ63" s="1013">
        <f>85860+3240</f>
        <v>89100</v>
      </c>
      <c r="AR63" s="867">
        <f>85860+3240</f>
        <v>89100</v>
      </c>
      <c r="AS63" s="1013">
        <f>85860+3240</f>
        <v>89100</v>
      </c>
      <c r="AT63" s="902">
        <f>85860+3240</f>
        <v>89100</v>
      </c>
      <c r="AU63" s="902">
        <f>85860+3240</f>
        <v>89100</v>
      </c>
      <c r="AV63" s="994">
        <f>AT63-AC63</f>
        <v>69880</v>
      </c>
      <c r="AW63" s="1009">
        <f>AE63-AD63</f>
        <v>0</v>
      </c>
      <c r="AX63" s="995">
        <v>0</v>
      </c>
      <c r="AY63" s="866">
        <v>39000</v>
      </c>
      <c r="AZ63" s="861">
        <f>85860+3240+3240</f>
        <v>92340</v>
      </c>
      <c r="BA63" s="867">
        <v>50000</v>
      </c>
      <c r="BB63" s="707">
        <v>60000</v>
      </c>
      <c r="BC63" s="707">
        <v>0</v>
      </c>
      <c r="BD63" s="724"/>
      <c r="BE63" s="724">
        <v>50000</v>
      </c>
      <c r="BF63" s="1014"/>
      <c r="BG63" s="941"/>
    </row>
    <row r="64" spans="1:59" s="637" customFormat="1" ht="13.5" customHeight="1" x14ac:dyDescent="0.15">
      <c r="A64" s="637">
        <f t="shared" si="41"/>
        <v>46</v>
      </c>
      <c r="B64" s="942"/>
      <c r="C64" s="1015" t="s">
        <v>155</v>
      </c>
      <c r="D64" s="972"/>
      <c r="E64" s="973"/>
      <c r="F64" s="974"/>
      <c r="G64" s="974"/>
      <c r="H64" s="974"/>
      <c r="I64" s="974"/>
      <c r="J64" s="974"/>
      <c r="K64" s="974"/>
      <c r="L64" s="974"/>
      <c r="M64" s="974"/>
      <c r="N64" s="975"/>
      <c r="O64" s="973"/>
      <c r="P64" s="974"/>
      <c r="Q64" s="974"/>
      <c r="R64" s="976"/>
      <c r="S64" s="977"/>
      <c r="T64" s="974"/>
      <c r="U64" s="974"/>
      <c r="V64" s="978"/>
      <c r="W64" s="979"/>
      <c r="X64" s="980"/>
      <c r="Y64" s="980"/>
      <c r="Z64" s="981"/>
      <c r="AA64" s="981"/>
      <c r="AB64" s="981"/>
      <c r="AC64" s="981"/>
      <c r="AD64" s="981"/>
      <c r="AE64" s="982">
        <v>0</v>
      </c>
      <c r="AF64" s="983"/>
      <c r="AG64" s="982"/>
      <c r="AH64" s="982"/>
      <c r="AI64" s="984"/>
      <c r="AJ64" s="989">
        <v>0</v>
      </c>
      <c r="AK64" s="982">
        <v>0</v>
      </c>
      <c r="AL64" s="980">
        <v>10642</v>
      </c>
      <c r="AM64" s="1016">
        <v>3240</v>
      </c>
      <c r="AN64" s="1016">
        <v>3240</v>
      </c>
      <c r="AO64" s="980">
        <v>0</v>
      </c>
      <c r="AP64" s="1001">
        <v>0</v>
      </c>
      <c r="AQ64" s="981">
        <v>0</v>
      </c>
      <c r="AR64" s="980">
        <v>0</v>
      </c>
      <c r="AS64" s="981">
        <v>0</v>
      </c>
      <c r="AT64" s="980">
        <v>10642</v>
      </c>
      <c r="AU64" s="980">
        <v>10642</v>
      </c>
      <c r="AV64" s="987"/>
      <c r="AW64" s="980">
        <v>0</v>
      </c>
      <c r="AX64" s="988"/>
      <c r="AY64" s="989"/>
      <c r="AZ64" s="990">
        <v>10642</v>
      </c>
      <c r="BA64" s="991">
        <v>0</v>
      </c>
      <c r="BB64" s="727">
        <v>0</v>
      </c>
      <c r="BC64" s="727">
        <v>0</v>
      </c>
      <c r="BD64" s="723"/>
      <c r="BE64" s="723">
        <v>0</v>
      </c>
      <c r="BF64" s="992"/>
      <c r="BG64" s="941"/>
    </row>
    <row r="65" spans="1:59" s="637" customFormat="1" ht="15" hidden="1" customHeight="1" x14ac:dyDescent="0.15">
      <c r="B65" s="940" t="s">
        <v>186</v>
      </c>
      <c r="C65" s="365"/>
      <c r="D65" s="366"/>
      <c r="E65" s="367"/>
      <c r="F65" s="368"/>
      <c r="G65" s="368"/>
      <c r="H65" s="368"/>
      <c r="I65" s="368"/>
      <c r="J65" s="368"/>
      <c r="K65" s="368"/>
      <c r="L65" s="368"/>
      <c r="M65" s="368"/>
      <c r="N65" s="369"/>
      <c r="O65" s="367"/>
      <c r="P65" s="368"/>
      <c r="Q65" s="368"/>
      <c r="R65" s="370"/>
      <c r="S65" s="371"/>
      <c r="T65" s="368"/>
      <c r="U65" s="368"/>
      <c r="V65" s="372"/>
      <c r="W65" s="373"/>
      <c r="X65" s="378"/>
      <c r="Y65" s="378"/>
      <c r="Z65" s="380"/>
      <c r="AA65" s="380"/>
      <c r="AB65" s="380"/>
      <c r="AC65" s="380"/>
      <c r="AD65" s="380"/>
      <c r="AE65" s="374">
        <v>0</v>
      </c>
      <c r="AF65" s="375"/>
      <c r="AG65" s="374"/>
      <c r="AH65" s="374"/>
      <c r="AI65" s="376"/>
      <c r="AJ65" s="377">
        <v>0</v>
      </c>
      <c r="AK65" s="374">
        <v>0</v>
      </c>
      <c r="AL65" s="378">
        <v>0</v>
      </c>
      <c r="AM65" s="378">
        <v>0</v>
      </c>
      <c r="AN65" s="378">
        <v>0</v>
      </c>
      <c r="AO65" s="378">
        <v>0</v>
      </c>
      <c r="AP65" s="379">
        <v>0</v>
      </c>
      <c r="AQ65" s="380">
        <v>0</v>
      </c>
      <c r="AR65" s="378">
        <v>0</v>
      </c>
      <c r="AS65" s="380">
        <v>0</v>
      </c>
      <c r="AT65" s="378">
        <v>0</v>
      </c>
      <c r="AU65" s="378">
        <v>1380</v>
      </c>
      <c r="AV65" s="381"/>
      <c r="AW65" s="378"/>
      <c r="AX65" s="382"/>
      <c r="AY65" s="377"/>
      <c r="AZ65" s="422">
        <v>0</v>
      </c>
      <c r="BA65" s="669">
        <v>0</v>
      </c>
      <c r="BB65" s="611">
        <v>0</v>
      </c>
      <c r="BC65" s="611"/>
      <c r="BD65" s="683"/>
      <c r="BE65" s="683"/>
      <c r="BF65" s="629"/>
      <c r="BG65" s="941"/>
    </row>
    <row r="66" spans="1:59" s="637" customFormat="1" ht="15" customHeight="1" x14ac:dyDescent="0.15">
      <c r="A66" s="637">
        <v>47</v>
      </c>
      <c r="B66" s="940" t="s">
        <v>187</v>
      </c>
      <c r="C66" s="365"/>
      <c r="D66" s="366"/>
      <c r="E66" s="367">
        <f>SUM(E67:E70)</f>
        <v>0</v>
      </c>
      <c r="F66" s="368">
        <f t="shared" ref="F66:AY66" si="51">SUM(F67:F70)</f>
        <v>0</v>
      </c>
      <c r="G66" s="368">
        <f t="shared" si="51"/>
        <v>0</v>
      </c>
      <c r="H66" s="368">
        <f t="shared" si="51"/>
        <v>0</v>
      </c>
      <c r="I66" s="368">
        <f t="shared" si="51"/>
        <v>0</v>
      </c>
      <c r="J66" s="368">
        <f t="shared" si="51"/>
        <v>0</v>
      </c>
      <c r="K66" s="368">
        <f t="shared" si="51"/>
        <v>0</v>
      </c>
      <c r="L66" s="368">
        <f t="shared" si="51"/>
        <v>0</v>
      </c>
      <c r="M66" s="368">
        <f t="shared" si="51"/>
        <v>0</v>
      </c>
      <c r="N66" s="369">
        <f t="shared" si="51"/>
        <v>0</v>
      </c>
      <c r="O66" s="367">
        <f t="shared" si="51"/>
        <v>0</v>
      </c>
      <c r="P66" s="368">
        <f t="shared" si="51"/>
        <v>0</v>
      </c>
      <c r="Q66" s="368">
        <f t="shared" si="51"/>
        <v>0</v>
      </c>
      <c r="R66" s="370">
        <f t="shared" si="51"/>
        <v>0</v>
      </c>
      <c r="S66" s="371">
        <f t="shared" si="51"/>
        <v>0</v>
      </c>
      <c r="T66" s="368">
        <f t="shared" si="51"/>
        <v>0</v>
      </c>
      <c r="U66" s="368">
        <f t="shared" si="51"/>
        <v>0</v>
      </c>
      <c r="V66" s="372">
        <f t="shared" si="51"/>
        <v>0</v>
      </c>
      <c r="W66" s="373">
        <f t="shared" si="51"/>
        <v>0</v>
      </c>
      <c r="X66" s="378">
        <f t="shared" si="51"/>
        <v>251555</v>
      </c>
      <c r="Y66" s="378">
        <f t="shared" si="51"/>
        <v>257059</v>
      </c>
      <c r="Z66" s="380">
        <f t="shared" si="51"/>
        <v>257059</v>
      </c>
      <c r="AA66" s="380">
        <f t="shared" si="51"/>
        <v>257059</v>
      </c>
      <c r="AB66" s="380">
        <f t="shared" si="51"/>
        <v>257059</v>
      </c>
      <c r="AC66" s="380">
        <f t="shared" si="51"/>
        <v>257059</v>
      </c>
      <c r="AD66" s="380">
        <f t="shared" si="51"/>
        <v>257059</v>
      </c>
      <c r="AE66" s="374">
        <f t="shared" si="51"/>
        <v>257545</v>
      </c>
      <c r="AF66" s="375">
        <f t="shared" si="51"/>
        <v>0</v>
      </c>
      <c r="AG66" s="374">
        <f t="shared" si="51"/>
        <v>0</v>
      </c>
      <c r="AH66" s="374">
        <f t="shared" si="51"/>
        <v>0</v>
      </c>
      <c r="AI66" s="376">
        <f t="shared" si="51"/>
        <v>0</v>
      </c>
      <c r="AJ66" s="377">
        <v>100000</v>
      </c>
      <c r="AK66" s="374">
        <f>SUM(AK67:AK70)</f>
        <v>55000</v>
      </c>
      <c r="AL66" s="417">
        <f t="shared" si="51"/>
        <v>40091</v>
      </c>
      <c r="AM66" s="378">
        <f t="shared" si="51"/>
        <v>40591</v>
      </c>
      <c r="AN66" s="378">
        <f t="shared" si="51"/>
        <v>52255</v>
      </c>
      <c r="AO66" s="417">
        <f>SUM(AO67:AO70)</f>
        <v>40091</v>
      </c>
      <c r="AP66" s="418">
        <f t="shared" si="51"/>
        <v>52255</v>
      </c>
      <c r="AQ66" s="419">
        <f t="shared" si="51"/>
        <v>52255</v>
      </c>
      <c r="AR66" s="417">
        <f t="shared" si="51"/>
        <v>52255</v>
      </c>
      <c r="AS66" s="419">
        <f t="shared" si="51"/>
        <v>52255</v>
      </c>
      <c r="AT66" s="417">
        <f t="shared" si="51"/>
        <v>52255</v>
      </c>
      <c r="AU66" s="417">
        <f t="shared" si="51"/>
        <v>52255</v>
      </c>
      <c r="AV66" s="381">
        <f t="shared" si="51"/>
        <v>-204804</v>
      </c>
      <c r="AW66" s="378">
        <f t="shared" si="51"/>
        <v>486</v>
      </c>
      <c r="AX66" s="382">
        <f t="shared" si="51"/>
        <v>0</v>
      </c>
      <c r="AY66" s="377">
        <f t="shared" si="51"/>
        <v>55000</v>
      </c>
      <c r="AZ66" s="422">
        <f>SUM(AZ67:AZ70)</f>
        <v>57287</v>
      </c>
      <c r="BA66" s="666">
        <f>SUM(BA67:BA70)</f>
        <v>43767</v>
      </c>
      <c r="BB66" s="611">
        <f>SUM(BB67:BB70)</f>
        <v>70000</v>
      </c>
      <c r="BC66" s="611">
        <f>SUM(BC67:BC70)</f>
        <v>0</v>
      </c>
      <c r="BD66" s="611"/>
      <c r="BE66" s="611">
        <f t="shared" ref="BE66" si="52">SUM(BE67:BE70)</f>
        <v>50000</v>
      </c>
      <c r="BF66" s="629"/>
      <c r="BG66" s="941"/>
    </row>
    <row r="67" spans="1:59" s="637" customFormat="1" ht="13.5" customHeight="1" x14ac:dyDescent="0.15">
      <c r="A67" s="637">
        <f t="shared" si="41"/>
        <v>48</v>
      </c>
      <c r="B67" s="942"/>
      <c r="C67" s="903" t="s">
        <v>23</v>
      </c>
      <c r="D67" s="1017"/>
      <c r="E67" s="885"/>
      <c r="F67" s="886"/>
      <c r="G67" s="886"/>
      <c r="H67" s="886"/>
      <c r="I67" s="886"/>
      <c r="J67" s="886"/>
      <c r="K67" s="886"/>
      <c r="L67" s="886"/>
      <c r="M67" s="886"/>
      <c r="N67" s="887"/>
      <c r="O67" s="885"/>
      <c r="P67" s="886"/>
      <c r="Q67" s="886"/>
      <c r="R67" s="888"/>
      <c r="S67" s="889"/>
      <c r="T67" s="886"/>
      <c r="U67" s="886"/>
      <c r="V67" s="890"/>
      <c r="W67" s="891"/>
      <c r="X67" s="892">
        <v>10977</v>
      </c>
      <c r="Y67" s="892">
        <v>10977</v>
      </c>
      <c r="Z67" s="893">
        <v>10977</v>
      </c>
      <c r="AA67" s="893">
        <v>10977</v>
      </c>
      <c r="AB67" s="893">
        <v>10977</v>
      </c>
      <c r="AC67" s="893">
        <v>10977</v>
      </c>
      <c r="AD67" s="893">
        <v>10977</v>
      </c>
      <c r="AE67" s="894">
        <v>10977</v>
      </c>
      <c r="AF67" s="895">
        <f>Z67-Y67</f>
        <v>0</v>
      </c>
      <c r="AG67" s="894"/>
      <c r="AH67" s="894"/>
      <c r="AI67" s="896"/>
      <c r="AJ67" s="1287"/>
      <c r="AK67" s="894">
        <v>10000</v>
      </c>
      <c r="AL67" s="894">
        <v>0</v>
      </c>
      <c r="AM67" s="894">
        <v>500</v>
      </c>
      <c r="AN67" s="894">
        <v>12164</v>
      </c>
      <c r="AO67" s="894">
        <v>0</v>
      </c>
      <c r="AP67" s="898">
        <v>500</v>
      </c>
      <c r="AQ67" s="899">
        <v>500</v>
      </c>
      <c r="AR67" s="894">
        <v>12164</v>
      </c>
      <c r="AS67" s="899">
        <v>12164</v>
      </c>
      <c r="AT67" s="993">
        <v>12164</v>
      </c>
      <c r="AU67" s="993">
        <v>12164</v>
      </c>
      <c r="AV67" s="900">
        <f>AT67-AC67</f>
        <v>1187</v>
      </c>
      <c r="AW67" s="892">
        <f>AE67-AD67</f>
        <v>0</v>
      </c>
      <c r="AX67" s="901">
        <v>0</v>
      </c>
      <c r="AY67" s="897">
        <v>10000</v>
      </c>
      <c r="AZ67" s="898">
        <f>39137-AZ68</f>
        <v>21557</v>
      </c>
      <c r="BA67" s="902">
        <v>22249</v>
      </c>
      <c r="BB67" s="716">
        <v>30000</v>
      </c>
      <c r="BC67" s="716">
        <v>0</v>
      </c>
      <c r="BD67" s="719"/>
      <c r="BE67" s="719">
        <v>20000</v>
      </c>
      <c r="BF67" s="945"/>
      <c r="BG67" s="941"/>
    </row>
    <row r="68" spans="1:59" s="637" customFormat="1" ht="13.5" customHeight="1" x14ac:dyDescent="0.15">
      <c r="A68" s="637">
        <f t="shared" si="41"/>
        <v>49</v>
      </c>
      <c r="B68" s="942"/>
      <c r="C68" s="903" t="s">
        <v>24</v>
      </c>
      <c r="D68" s="1017"/>
      <c r="E68" s="885"/>
      <c r="F68" s="886"/>
      <c r="G68" s="886"/>
      <c r="H68" s="886"/>
      <c r="I68" s="886"/>
      <c r="J68" s="886"/>
      <c r="K68" s="886"/>
      <c r="L68" s="886"/>
      <c r="M68" s="886"/>
      <c r="N68" s="887"/>
      <c r="O68" s="885"/>
      <c r="P68" s="886"/>
      <c r="Q68" s="886"/>
      <c r="R68" s="888"/>
      <c r="S68" s="889"/>
      <c r="T68" s="886"/>
      <c r="U68" s="886"/>
      <c r="V68" s="890"/>
      <c r="W68" s="891"/>
      <c r="X68" s="892">
        <v>117601</v>
      </c>
      <c r="Y68" s="892">
        <v>117601</v>
      </c>
      <c r="Z68" s="893">
        <v>117601</v>
      </c>
      <c r="AA68" s="893">
        <v>117601</v>
      </c>
      <c r="AB68" s="893">
        <v>117601</v>
      </c>
      <c r="AC68" s="893">
        <v>117601</v>
      </c>
      <c r="AD68" s="893">
        <v>117601</v>
      </c>
      <c r="AE68" s="894">
        <v>118087</v>
      </c>
      <c r="AF68" s="895">
        <f>Z68-Y68</f>
        <v>0</v>
      </c>
      <c r="AG68" s="894" t="s">
        <v>27</v>
      </c>
      <c r="AH68" s="894" t="s">
        <v>27</v>
      </c>
      <c r="AI68" s="896" t="s">
        <v>27</v>
      </c>
      <c r="AJ68" s="1288"/>
      <c r="AK68" s="894">
        <v>27000</v>
      </c>
      <c r="AL68" s="894">
        <v>21941</v>
      </c>
      <c r="AM68" s="894">
        <v>21941</v>
      </c>
      <c r="AN68" s="894">
        <v>21941</v>
      </c>
      <c r="AO68" s="894">
        <v>21941</v>
      </c>
      <c r="AP68" s="898">
        <v>33605</v>
      </c>
      <c r="AQ68" s="899">
        <v>33605</v>
      </c>
      <c r="AR68" s="894">
        <v>21941</v>
      </c>
      <c r="AS68" s="899">
        <v>21941</v>
      </c>
      <c r="AT68" s="993">
        <v>21941</v>
      </c>
      <c r="AU68" s="993">
        <v>21941</v>
      </c>
      <c r="AV68" s="900">
        <f>AT68-AC68</f>
        <v>-95660</v>
      </c>
      <c r="AW68" s="892">
        <f>AE68-AD68</f>
        <v>486</v>
      </c>
      <c r="AX68" s="901">
        <v>0</v>
      </c>
      <c r="AY68" s="897">
        <v>27000</v>
      </c>
      <c r="AZ68" s="898">
        <f>16200+1380</f>
        <v>17580</v>
      </c>
      <c r="BA68" s="902">
        <v>0</v>
      </c>
      <c r="BB68" s="716">
        <v>10000</v>
      </c>
      <c r="BC68" s="716">
        <v>0</v>
      </c>
      <c r="BD68" s="719"/>
      <c r="BE68" s="719">
        <v>10000</v>
      </c>
      <c r="BF68" s="945"/>
      <c r="BG68" s="941"/>
    </row>
    <row r="69" spans="1:59" s="637" customFormat="1" ht="13.5" customHeight="1" x14ac:dyDescent="0.15">
      <c r="A69" s="637">
        <f t="shared" si="41"/>
        <v>50</v>
      </c>
      <c r="B69" s="942"/>
      <c r="C69" s="903" t="s">
        <v>25</v>
      </c>
      <c r="D69" s="1017"/>
      <c r="E69" s="885"/>
      <c r="F69" s="886"/>
      <c r="G69" s="886"/>
      <c r="H69" s="886"/>
      <c r="I69" s="886"/>
      <c r="J69" s="886"/>
      <c r="K69" s="886"/>
      <c r="L69" s="886"/>
      <c r="M69" s="886"/>
      <c r="N69" s="887"/>
      <c r="O69" s="885"/>
      <c r="P69" s="886"/>
      <c r="Q69" s="886"/>
      <c r="R69" s="888"/>
      <c r="S69" s="889"/>
      <c r="T69" s="886"/>
      <c r="U69" s="886"/>
      <c r="V69" s="890"/>
      <c r="W69" s="891"/>
      <c r="X69" s="892">
        <v>122977</v>
      </c>
      <c r="Y69" s="892">
        <v>122977</v>
      </c>
      <c r="Z69" s="893">
        <v>122977</v>
      </c>
      <c r="AA69" s="893">
        <v>122977</v>
      </c>
      <c r="AB69" s="893">
        <v>122977</v>
      </c>
      <c r="AC69" s="893">
        <v>122977</v>
      </c>
      <c r="AD69" s="893">
        <v>122977</v>
      </c>
      <c r="AE69" s="894">
        <v>122977</v>
      </c>
      <c r="AF69" s="895">
        <f>Z69-Y69</f>
        <v>0</v>
      </c>
      <c r="AG69" s="894"/>
      <c r="AH69" s="894"/>
      <c r="AI69" s="896"/>
      <c r="AJ69" s="1288"/>
      <c r="AK69" s="894">
        <v>18000</v>
      </c>
      <c r="AL69" s="894">
        <v>18150</v>
      </c>
      <c r="AM69" s="894">
        <v>18150</v>
      </c>
      <c r="AN69" s="894">
        <v>18150</v>
      </c>
      <c r="AO69" s="894">
        <v>18150</v>
      </c>
      <c r="AP69" s="898">
        <v>18150</v>
      </c>
      <c r="AQ69" s="899">
        <v>18150</v>
      </c>
      <c r="AR69" s="894">
        <v>18150</v>
      </c>
      <c r="AS69" s="899">
        <v>18150</v>
      </c>
      <c r="AT69" s="1018">
        <v>18150</v>
      </c>
      <c r="AU69" s="1018">
        <v>18150</v>
      </c>
      <c r="AV69" s="900">
        <f>AT69-AC69</f>
        <v>-104827</v>
      </c>
      <c r="AW69" s="892">
        <f>AE69-AD69</f>
        <v>0</v>
      </c>
      <c r="AX69" s="901">
        <v>0</v>
      </c>
      <c r="AY69" s="897">
        <v>18000</v>
      </c>
      <c r="AZ69" s="898">
        <v>18150</v>
      </c>
      <c r="BA69" s="902">
        <v>21518</v>
      </c>
      <c r="BB69" s="716">
        <v>30000</v>
      </c>
      <c r="BC69" s="716">
        <v>0</v>
      </c>
      <c r="BD69" s="719"/>
      <c r="BE69" s="719">
        <v>20000</v>
      </c>
      <c r="BF69" s="945"/>
      <c r="BG69" s="941"/>
    </row>
    <row r="70" spans="1:59" s="637" customFormat="1" ht="14.1" hidden="1" customHeight="1" x14ac:dyDescent="0.15">
      <c r="A70" s="637">
        <f t="shared" si="41"/>
        <v>51</v>
      </c>
      <c r="B70" s="942"/>
      <c r="C70" s="950" t="s">
        <v>26</v>
      </c>
      <c r="D70" s="951"/>
      <c r="E70" s="952"/>
      <c r="F70" s="953"/>
      <c r="G70" s="953"/>
      <c r="H70" s="953"/>
      <c r="I70" s="953"/>
      <c r="J70" s="953"/>
      <c r="K70" s="953"/>
      <c r="L70" s="953"/>
      <c r="M70" s="953"/>
      <c r="N70" s="954"/>
      <c r="O70" s="952"/>
      <c r="P70" s="953"/>
      <c r="Q70" s="953"/>
      <c r="R70" s="955"/>
      <c r="S70" s="956"/>
      <c r="T70" s="953"/>
      <c r="U70" s="953"/>
      <c r="V70" s="957"/>
      <c r="W70" s="958"/>
      <c r="X70" s="959">
        <v>0</v>
      </c>
      <c r="Y70" s="959">
        <v>5504</v>
      </c>
      <c r="Z70" s="960">
        <v>5504</v>
      </c>
      <c r="AA70" s="960">
        <v>5504</v>
      </c>
      <c r="AB70" s="960">
        <v>5504</v>
      </c>
      <c r="AC70" s="960">
        <v>5504</v>
      </c>
      <c r="AD70" s="960">
        <v>5504</v>
      </c>
      <c r="AE70" s="632">
        <v>5504</v>
      </c>
      <c r="AF70" s="961">
        <f>Z70-Y70</f>
        <v>0</v>
      </c>
      <c r="AG70" s="632"/>
      <c r="AH70" s="632"/>
      <c r="AI70" s="962"/>
      <c r="AJ70" s="1289"/>
      <c r="AK70" s="1019">
        <v>0</v>
      </c>
      <c r="AL70" s="632">
        <v>0</v>
      </c>
      <c r="AM70" s="632">
        <v>0</v>
      </c>
      <c r="AN70" s="632">
        <v>0</v>
      </c>
      <c r="AO70" s="632">
        <v>0</v>
      </c>
      <c r="AP70" s="967">
        <v>0</v>
      </c>
      <c r="AQ70" s="1020">
        <v>0</v>
      </c>
      <c r="AR70" s="632">
        <v>0</v>
      </c>
      <c r="AS70" s="1020">
        <v>0</v>
      </c>
      <c r="AT70" s="1021">
        <v>0</v>
      </c>
      <c r="AU70" s="1021">
        <v>0</v>
      </c>
      <c r="AV70" s="1022">
        <f>AT70-AC70</f>
        <v>-5504</v>
      </c>
      <c r="AW70" s="959">
        <f>AE70-AD70</f>
        <v>0</v>
      </c>
      <c r="AX70" s="966">
        <v>0</v>
      </c>
      <c r="AY70" s="963">
        <v>0</v>
      </c>
      <c r="AZ70" s="967"/>
      <c r="BA70" s="968">
        <v>0</v>
      </c>
      <c r="BB70" s="728">
        <v>0</v>
      </c>
      <c r="BC70" s="728"/>
      <c r="BD70" s="729"/>
      <c r="BE70" s="729"/>
      <c r="BF70" s="962"/>
      <c r="BG70" s="941"/>
    </row>
    <row r="71" spans="1:59" ht="15" customHeight="1" x14ac:dyDescent="0.15">
      <c r="A71" s="637">
        <v>51</v>
      </c>
      <c r="B71" s="1023" t="s">
        <v>203</v>
      </c>
      <c r="C71" s="365"/>
      <c r="D71" s="366"/>
      <c r="E71" s="367">
        <f>SUM(E72:E77)</f>
        <v>420000</v>
      </c>
      <c r="F71" s="368">
        <f t="shared" ref="F71:AZ71" si="53">SUM(F72:F77)</f>
        <v>0</v>
      </c>
      <c r="G71" s="368">
        <f t="shared" si="53"/>
        <v>343340</v>
      </c>
      <c r="H71" s="368">
        <f t="shared" si="53"/>
        <v>690525</v>
      </c>
      <c r="I71" s="368">
        <f t="shared" si="53"/>
        <v>0</v>
      </c>
      <c r="J71" s="368">
        <f t="shared" si="53"/>
        <v>348230</v>
      </c>
      <c r="K71" s="368">
        <f t="shared" si="53"/>
        <v>656920</v>
      </c>
      <c r="L71" s="368">
        <f t="shared" si="53"/>
        <v>429350</v>
      </c>
      <c r="M71" s="368">
        <f t="shared" si="53"/>
        <v>1378975</v>
      </c>
      <c r="N71" s="369">
        <f t="shared" si="53"/>
        <v>2077547</v>
      </c>
      <c r="O71" s="367">
        <f t="shared" si="53"/>
        <v>1248550</v>
      </c>
      <c r="P71" s="368">
        <f t="shared" si="53"/>
        <v>1317700</v>
      </c>
      <c r="Q71" s="368">
        <f t="shared" si="53"/>
        <v>1356380</v>
      </c>
      <c r="R71" s="370">
        <f t="shared" si="53"/>
        <v>1281800</v>
      </c>
      <c r="S71" s="371">
        <f t="shared" si="53"/>
        <v>459000</v>
      </c>
      <c r="T71" s="368">
        <f t="shared" si="53"/>
        <v>1571200</v>
      </c>
      <c r="U71" s="368">
        <f t="shared" si="53"/>
        <v>1604800</v>
      </c>
      <c r="V71" s="372">
        <f t="shared" si="53"/>
        <v>1592950</v>
      </c>
      <c r="W71" s="373">
        <f t="shared" si="53"/>
        <v>0</v>
      </c>
      <c r="X71" s="378">
        <f t="shared" si="53"/>
        <v>437860</v>
      </c>
      <c r="Y71" s="378">
        <f t="shared" si="53"/>
        <v>505040</v>
      </c>
      <c r="Z71" s="380">
        <f t="shared" si="53"/>
        <v>505040</v>
      </c>
      <c r="AA71" s="380">
        <f t="shared" si="53"/>
        <v>505040</v>
      </c>
      <c r="AB71" s="380">
        <f t="shared" si="53"/>
        <v>505040</v>
      </c>
      <c r="AC71" s="380">
        <f t="shared" si="53"/>
        <v>505040</v>
      </c>
      <c r="AD71" s="380">
        <f t="shared" si="53"/>
        <v>505040</v>
      </c>
      <c r="AE71" s="374">
        <f t="shared" si="53"/>
        <v>505040</v>
      </c>
      <c r="AF71" s="375">
        <f t="shared" si="53"/>
        <v>0</v>
      </c>
      <c r="AG71" s="420">
        <f t="shared" si="53"/>
        <v>0</v>
      </c>
      <c r="AH71" s="420">
        <f t="shared" si="53"/>
        <v>0</v>
      </c>
      <c r="AI71" s="421">
        <f t="shared" si="53"/>
        <v>0</v>
      </c>
      <c r="AJ71" s="377">
        <v>450000</v>
      </c>
      <c r="AK71" s="374">
        <f t="shared" si="53"/>
        <v>260000</v>
      </c>
      <c r="AL71" s="374">
        <f t="shared" si="53"/>
        <v>300000</v>
      </c>
      <c r="AM71" s="374">
        <f t="shared" si="53"/>
        <v>360000</v>
      </c>
      <c r="AN71" s="374">
        <f t="shared" si="53"/>
        <v>360000</v>
      </c>
      <c r="AO71" s="374">
        <f>SUM(AO72:AO77)</f>
        <v>360000</v>
      </c>
      <c r="AP71" s="422">
        <f t="shared" si="53"/>
        <v>425000</v>
      </c>
      <c r="AQ71" s="423">
        <f t="shared" si="53"/>
        <v>425000</v>
      </c>
      <c r="AR71" s="374">
        <f t="shared" si="53"/>
        <v>425000</v>
      </c>
      <c r="AS71" s="423">
        <f t="shared" si="53"/>
        <v>360000</v>
      </c>
      <c r="AT71" s="374">
        <f t="shared" si="53"/>
        <v>360000</v>
      </c>
      <c r="AU71" s="374">
        <f t="shared" si="53"/>
        <v>360000</v>
      </c>
      <c r="AV71" s="591">
        <f t="shared" si="53"/>
        <v>-145040</v>
      </c>
      <c r="AW71" s="378">
        <f t="shared" si="53"/>
        <v>0</v>
      </c>
      <c r="AX71" s="382">
        <f t="shared" si="53"/>
        <v>0</v>
      </c>
      <c r="AY71" s="377">
        <f t="shared" si="53"/>
        <v>260000</v>
      </c>
      <c r="AZ71" s="422">
        <f t="shared" si="53"/>
        <v>360000</v>
      </c>
      <c r="BA71" s="670">
        <f>SUM(BA72:BA77)</f>
        <v>997550</v>
      </c>
      <c r="BB71" s="614">
        <f>SUM(BB72:BB77)</f>
        <v>930000</v>
      </c>
      <c r="BC71" s="614">
        <f>SUM(BC72:BC78)</f>
        <v>268880</v>
      </c>
      <c r="BD71" s="611"/>
      <c r="BE71" s="614">
        <f>SUM(BE72:BE78)</f>
        <v>1100000</v>
      </c>
      <c r="BF71" s="1024"/>
    </row>
    <row r="72" spans="1:59" ht="13.5" customHeight="1" x14ac:dyDescent="0.15">
      <c r="A72" s="637">
        <f t="shared" si="41"/>
        <v>52</v>
      </c>
      <c r="B72" s="1025"/>
      <c r="C72" s="903" t="s">
        <v>296</v>
      </c>
      <c r="D72" s="904"/>
      <c r="E72" s="905">
        <v>100000</v>
      </c>
      <c r="F72" s="906"/>
      <c r="G72" s="906">
        <v>300000</v>
      </c>
      <c r="H72" s="906">
        <v>288000</v>
      </c>
      <c r="I72" s="906"/>
      <c r="J72" s="906"/>
      <c r="K72" s="906"/>
      <c r="L72" s="906"/>
      <c r="M72" s="1290"/>
      <c r="N72" s="1291"/>
      <c r="O72" s="1292"/>
      <c r="P72" s="1290"/>
      <c r="Q72" s="1290"/>
      <c r="R72" s="1293"/>
      <c r="S72" s="1294"/>
      <c r="T72" s="1290"/>
      <c r="U72" s="1290"/>
      <c r="V72" s="1295"/>
      <c r="W72" s="1296"/>
      <c r="X72" s="892">
        <v>150000</v>
      </c>
      <c r="Y72" s="892">
        <v>150000</v>
      </c>
      <c r="Z72" s="892">
        <v>150000</v>
      </c>
      <c r="AA72" s="892">
        <v>150000</v>
      </c>
      <c r="AB72" s="892">
        <v>150000</v>
      </c>
      <c r="AC72" s="892">
        <v>150000</v>
      </c>
      <c r="AD72" s="892">
        <v>150000</v>
      </c>
      <c r="AE72" s="295">
        <v>150000</v>
      </c>
      <c r="AF72" s="914">
        <f t="shared" ref="AF72:AF83" si="54">Z72-Y72</f>
        <v>0</v>
      </c>
      <c r="AG72" s="295" t="s">
        <v>16</v>
      </c>
      <c r="AH72" s="295" t="s">
        <v>16</v>
      </c>
      <c r="AI72" s="275" t="s">
        <v>16</v>
      </c>
      <c r="AJ72" s="1270"/>
      <c r="AK72" s="295">
        <v>60000</v>
      </c>
      <c r="AL72" s="295">
        <v>120000</v>
      </c>
      <c r="AM72" s="295">
        <v>180000</v>
      </c>
      <c r="AN72" s="295">
        <v>180000</v>
      </c>
      <c r="AO72" s="295">
        <v>180000</v>
      </c>
      <c r="AP72" s="861">
        <v>180000</v>
      </c>
      <c r="AQ72" s="862">
        <v>180000</v>
      </c>
      <c r="AR72" s="295">
        <v>180000</v>
      </c>
      <c r="AS72" s="862">
        <v>180000</v>
      </c>
      <c r="AT72" s="894">
        <v>180000</v>
      </c>
      <c r="AU72" s="894">
        <v>180000</v>
      </c>
      <c r="AV72" s="994">
        <f t="shared" ref="AV72:AV83" si="55">AT72-AC72</f>
        <v>30000</v>
      </c>
      <c r="AW72" s="892">
        <f t="shared" ref="AW72:AW83" si="56">AE72-AD72</f>
        <v>0</v>
      </c>
      <c r="AX72" s="995">
        <v>0</v>
      </c>
      <c r="AY72" s="866">
        <v>60000</v>
      </c>
      <c r="AZ72" s="861">
        <v>180000</v>
      </c>
      <c r="BA72" s="867">
        <v>80000</v>
      </c>
      <c r="BB72" s="707">
        <f>20000*4</f>
        <v>80000</v>
      </c>
      <c r="BC72" s="707">
        <v>0</v>
      </c>
      <c r="BD72" s="1246" t="s">
        <v>235</v>
      </c>
      <c r="BE72" s="1244">
        <v>300000</v>
      </c>
      <c r="BF72" s="1014" t="s">
        <v>297</v>
      </c>
    </row>
    <row r="73" spans="1:59" ht="13.5" customHeight="1" x14ac:dyDescent="0.15">
      <c r="A73" s="637">
        <f>A72+1</f>
        <v>53</v>
      </c>
      <c r="B73" s="1025"/>
      <c r="C73" s="903" t="s">
        <v>209</v>
      </c>
      <c r="D73" s="904"/>
      <c r="E73" s="905"/>
      <c r="F73" s="906"/>
      <c r="G73" s="906"/>
      <c r="H73" s="906"/>
      <c r="I73" s="906"/>
      <c r="J73" s="906"/>
      <c r="K73" s="906"/>
      <c r="L73" s="906"/>
      <c r="M73" s="1290"/>
      <c r="N73" s="1291"/>
      <c r="O73" s="1292"/>
      <c r="P73" s="1290"/>
      <c r="Q73" s="1290"/>
      <c r="R73" s="1293"/>
      <c r="S73" s="1294"/>
      <c r="T73" s="1290"/>
      <c r="U73" s="1290"/>
      <c r="V73" s="1295"/>
      <c r="W73" s="1296"/>
      <c r="X73" s="892"/>
      <c r="Y73" s="892"/>
      <c r="Z73" s="892"/>
      <c r="AA73" s="892"/>
      <c r="AB73" s="892"/>
      <c r="AC73" s="892"/>
      <c r="AD73" s="892"/>
      <c r="AE73" s="295"/>
      <c r="AF73" s="914"/>
      <c r="AG73" s="295"/>
      <c r="AH73" s="295"/>
      <c r="AI73" s="275"/>
      <c r="AJ73" s="1271"/>
      <c r="AK73" s="295"/>
      <c r="AL73" s="295"/>
      <c r="AM73" s="295"/>
      <c r="AN73" s="295"/>
      <c r="AO73" s="295"/>
      <c r="AP73" s="861"/>
      <c r="AQ73" s="862"/>
      <c r="AR73" s="295"/>
      <c r="AS73" s="862"/>
      <c r="AT73" s="894"/>
      <c r="AU73" s="894">
        <v>0</v>
      </c>
      <c r="AV73" s="994"/>
      <c r="AW73" s="892"/>
      <c r="AX73" s="995"/>
      <c r="AY73" s="866"/>
      <c r="AZ73" s="861">
        <v>0</v>
      </c>
      <c r="BA73" s="867">
        <v>450000</v>
      </c>
      <c r="BB73" s="707">
        <v>300000</v>
      </c>
      <c r="BC73" s="707">
        <v>150000</v>
      </c>
      <c r="BD73" s="1245"/>
      <c r="BE73" s="724">
        <v>300000</v>
      </c>
      <c r="BF73" s="1014"/>
    </row>
    <row r="74" spans="1:59" ht="13.5" customHeight="1" x14ac:dyDescent="0.15">
      <c r="A74" s="637">
        <f>A73+1</f>
        <v>54</v>
      </c>
      <c r="B74" s="1025"/>
      <c r="C74" s="903" t="s">
        <v>294</v>
      </c>
      <c r="D74" s="904"/>
      <c r="E74" s="905">
        <v>320000</v>
      </c>
      <c r="F74" s="906"/>
      <c r="G74" s="906"/>
      <c r="H74" s="906"/>
      <c r="I74" s="906"/>
      <c r="J74" s="906"/>
      <c r="K74" s="906"/>
      <c r="L74" s="906"/>
      <c r="M74" s="1290"/>
      <c r="N74" s="1291"/>
      <c r="O74" s="1292"/>
      <c r="P74" s="1290"/>
      <c r="Q74" s="1290"/>
      <c r="R74" s="1293"/>
      <c r="S74" s="1294"/>
      <c r="T74" s="1290"/>
      <c r="U74" s="1290"/>
      <c r="V74" s="1295"/>
      <c r="W74" s="1296"/>
      <c r="X74" s="892">
        <v>287860</v>
      </c>
      <c r="Y74" s="892">
        <v>287860</v>
      </c>
      <c r="Z74" s="892">
        <v>287860</v>
      </c>
      <c r="AA74" s="892">
        <v>287860</v>
      </c>
      <c r="AB74" s="892">
        <v>287860</v>
      </c>
      <c r="AC74" s="892">
        <v>287860</v>
      </c>
      <c r="AD74" s="892">
        <v>287860</v>
      </c>
      <c r="AE74" s="295">
        <v>287860</v>
      </c>
      <c r="AF74" s="914">
        <f t="shared" si="54"/>
        <v>0</v>
      </c>
      <c r="AG74" s="295" t="s">
        <v>17</v>
      </c>
      <c r="AH74" s="295" t="s">
        <v>17</v>
      </c>
      <c r="AI74" s="275" t="s">
        <v>17</v>
      </c>
      <c r="AJ74" s="1271"/>
      <c r="AK74" s="295">
        <v>180000</v>
      </c>
      <c r="AL74" s="295">
        <v>180000</v>
      </c>
      <c r="AM74" s="295">
        <v>180000</v>
      </c>
      <c r="AN74" s="295">
        <v>180000</v>
      </c>
      <c r="AO74" s="295">
        <v>180000</v>
      </c>
      <c r="AP74" s="861">
        <v>180000</v>
      </c>
      <c r="AQ74" s="862">
        <v>180000</v>
      </c>
      <c r="AR74" s="295">
        <v>180000</v>
      </c>
      <c r="AS74" s="862">
        <v>180000</v>
      </c>
      <c r="AT74" s="894">
        <v>180000</v>
      </c>
      <c r="AU74" s="894">
        <v>180000</v>
      </c>
      <c r="AV74" s="994">
        <f t="shared" si="55"/>
        <v>-107860</v>
      </c>
      <c r="AW74" s="892">
        <f t="shared" si="56"/>
        <v>0</v>
      </c>
      <c r="AX74" s="995">
        <v>0</v>
      </c>
      <c r="AY74" s="866">
        <v>180000</v>
      </c>
      <c r="AZ74" s="861">
        <v>180000</v>
      </c>
      <c r="BA74" s="867">
        <v>467550</v>
      </c>
      <c r="BB74" s="707">
        <v>450000</v>
      </c>
      <c r="BC74" s="707">
        <v>78880</v>
      </c>
      <c r="BD74" s="724"/>
      <c r="BE74" s="724">
        <v>200000</v>
      </c>
      <c r="BF74" s="1014"/>
    </row>
    <row r="75" spans="1:59" ht="13.5" customHeight="1" x14ac:dyDescent="0.15">
      <c r="A75" s="637">
        <f t="shared" si="41"/>
        <v>55</v>
      </c>
      <c r="B75" s="1025"/>
      <c r="C75" s="1309" t="s">
        <v>217</v>
      </c>
      <c r="D75" s="1310"/>
      <c r="E75" s="905"/>
      <c r="F75" s="906"/>
      <c r="G75" s="906"/>
      <c r="H75" s="906"/>
      <c r="I75" s="906"/>
      <c r="J75" s="906"/>
      <c r="K75" s="906"/>
      <c r="L75" s="906"/>
      <c r="M75" s="1290"/>
      <c r="N75" s="1291"/>
      <c r="O75" s="1292"/>
      <c r="P75" s="1290"/>
      <c r="Q75" s="1290"/>
      <c r="R75" s="1293"/>
      <c r="S75" s="1294"/>
      <c r="T75" s="1290"/>
      <c r="U75" s="1290"/>
      <c r="V75" s="1295"/>
      <c r="W75" s="1296"/>
      <c r="X75" s="892">
        <v>0</v>
      </c>
      <c r="Y75" s="892">
        <f t="shared" ref="Y75:AD75" si="57">30000+12180</f>
        <v>42180</v>
      </c>
      <c r="Z75" s="892">
        <f t="shared" si="57"/>
        <v>42180</v>
      </c>
      <c r="AA75" s="892">
        <f t="shared" si="57"/>
        <v>42180</v>
      </c>
      <c r="AB75" s="892">
        <f t="shared" si="57"/>
        <v>42180</v>
      </c>
      <c r="AC75" s="892">
        <f t="shared" si="57"/>
        <v>42180</v>
      </c>
      <c r="AD75" s="892">
        <f t="shared" si="57"/>
        <v>42180</v>
      </c>
      <c r="AE75" s="295">
        <f>12180+30000</f>
        <v>42180</v>
      </c>
      <c r="AF75" s="914">
        <f t="shared" si="54"/>
        <v>0</v>
      </c>
      <c r="AG75" s="295"/>
      <c r="AH75" s="295"/>
      <c r="AI75" s="275"/>
      <c r="AJ75" s="1271"/>
      <c r="AK75" s="295">
        <v>0</v>
      </c>
      <c r="AL75" s="295">
        <v>0</v>
      </c>
      <c r="AM75" s="295">
        <v>0</v>
      </c>
      <c r="AN75" s="295">
        <v>0</v>
      </c>
      <c r="AO75" s="295">
        <v>0</v>
      </c>
      <c r="AP75" s="861">
        <v>0</v>
      </c>
      <c r="AQ75" s="862">
        <v>0</v>
      </c>
      <c r="AR75" s="295">
        <v>0</v>
      </c>
      <c r="AS75" s="862">
        <v>0</v>
      </c>
      <c r="AT75" s="894">
        <v>0</v>
      </c>
      <c r="AU75" s="894">
        <v>0</v>
      </c>
      <c r="AV75" s="994">
        <f t="shared" si="55"/>
        <v>-42180</v>
      </c>
      <c r="AW75" s="892">
        <f t="shared" si="56"/>
        <v>0</v>
      </c>
      <c r="AX75" s="995">
        <v>0</v>
      </c>
      <c r="AY75" s="866">
        <v>0</v>
      </c>
      <c r="AZ75" s="861">
        <v>0</v>
      </c>
      <c r="BA75" s="867">
        <v>0</v>
      </c>
      <c r="BB75" s="707">
        <v>100000</v>
      </c>
      <c r="BC75" s="707">
        <v>0</v>
      </c>
      <c r="BD75" s="724"/>
      <c r="BE75" s="724">
        <v>200000</v>
      </c>
      <c r="BF75" s="1014"/>
    </row>
    <row r="76" spans="1:59" ht="14.1" hidden="1" customHeight="1" x14ac:dyDescent="0.15">
      <c r="A76" s="637">
        <f t="shared" si="41"/>
        <v>56</v>
      </c>
      <c r="B76" s="1025"/>
      <c r="C76" s="859" t="s">
        <v>19</v>
      </c>
      <c r="D76" s="904"/>
      <c r="E76" s="905"/>
      <c r="F76" s="906"/>
      <c r="G76" s="906"/>
      <c r="H76" s="906"/>
      <c r="I76" s="906"/>
      <c r="J76" s="906"/>
      <c r="K76" s="906"/>
      <c r="L76" s="906"/>
      <c r="M76" s="1290"/>
      <c r="N76" s="1291"/>
      <c r="O76" s="1292"/>
      <c r="P76" s="1290"/>
      <c r="Q76" s="1290"/>
      <c r="R76" s="1293"/>
      <c r="S76" s="1294"/>
      <c r="T76" s="1290"/>
      <c r="U76" s="1290"/>
      <c r="V76" s="1295"/>
      <c r="W76" s="1296"/>
      <c r="X76" s="892">
        <v>0</v>
      </c>
      <c r="Y76" s="892">
        <v>25000</v>
      </c>
      <c r="Z76" s="892">
        <v>25000</v>
      </c>
      <c r="AA76" s="892">
        <v>25000</v>
      </c>
      <c r="AB76" s="892">
        <v>25000</v>
      </c>
      <c r="AC76" s="892">
        <v>25000</v>
      </c>
      <c r="AD76" s="892">
        <v>25000</v>
      </c>
      <c r="AE76" s="295">
        <v>25000</v>
      </c>
      <c r="AF76" s="914">
        <f t="shared" si="54"/>
        <v>0</v>
      </c>
      <c r="AG76" s="295" t="s">
        <v>18</v>
      </c>
      <c r="AH76" s="295" t="s">
        <v>18</v>
      </c>
      <c r="AI76" s="275" t="s">
        <v>18</v>
      </c>
      <c r="AJ76" s="1272"/>
      <c r="AK76" s="295">
        <v>20000</v>
      </c>
      <c r="AL76" s="295">
        <v>0</v>
      </c>
      <c r="AM76" s="295">
        <v>0</v>
      </c>
      <c r="AN76" s="295">
        <v>0</v>
      </c>
      <c r="AO76" s="295">
        <v>0</v>
      </c>
      <c r="AP76" s="861">
        <v>65000</v>
      </c>
      <c r="AQ76" s="862">
        <f>13500+20500+17500+13500</f>
        <v>65000</v>
      </c>
      <c r="AR76" s="295">
        <f>13500+20500+17500+13500</f>
        <v>65000</v>
      </c>
      <c r="AS76" s="862"/>
      <c r="AT76" s="894">
        <v>0</v>
      </c>
      <c r="AU76" s="894">
        <v>0</v>
      </c>
      <c r="AV76" s="994">
        <f t="shared" si="55"/>
        <v>-25000</v>
      </c>
      <c r="AW76" s="892">
        <f t="shared" si="56"/>
        <v>0</v>
      </c>
      <c r="AX76" s="995">
        <v>0</v>
      </c>
      <c r="AY76" s="866">
        <v>20000</v>
      </c>
      <c r="AZ76" s="861">
        <v>0</v>
      </c>
      <c r="BA76" s="867">
        <v>0</v>
      </c>
      <c r="BB76" s="707">
        <v>0</v>
      </c>
      <c r="BC76" s="707"/>
      <c r="BD76" s="724"/>
      <c r="BE76" s="724"/>
      <c r="BF76" s="1014"/>
    </row>
    <row r="77" spans="1:59" ht="13.5" hidden="1" customHeight="1" x14ac:dyDescent="0.15">
      <c r="A77" s="637"/>
      <c r="B77" s="1026"/>
      <c r="C77" s="781" t="s">
        <v>188</v>
      </c>
      <c r="D77" s="1111"/>
      <c r="E77" s="352">
        <v>0</v>
      </c>
      <c r="F77" s="353">
        <v>0</v>
      </c>
      <c r="G77" s="353">
        <v>43340</v>
      </c>
      <c r="H77" s="353">
        <f>690525-H72</f>
        <v>402525</v>
      </c>
      <c r="I77" s="353">
        <v>0</v>
      </c>
      <c r="J77" s="353">
        <v>348230</v>
      </c>
      <c r="K77" s="353">
        <v>656920</v>
      </c>
      <c r="L77" s="353">
        <v>429350</v>
      </c>
      <c r="M77" s="353">
        <v>1378975</v>
      </c>
      <c r="N77" s="350">
        <v>2077547</v>
      </c>
      <c r="O77" s="352">
        <v>1248550</v>
      </c>
      <c r="P77" s="353">
        <v>1317700</v>
      </c>
      <c r="Q77" s="353">
        <v>1356380</v>
      </c>
      <c r="R77" s="354">
        <v>1281800</v>
      </c>
      <c r="S77" s="355">
        <v>459000</v>
      </c>
      <c r="T77" s="353">
        <v>1571200</v>
      </c>
      <c r="U77" s="353">
        <v>1604800</v>
      </c>
      <c r="V77" s="356">
        <v>1592950</v>
      </c>
      <c r="W77" s="357"/>
      <c r="X77" s="568"/>
      <c r="Y77" s="568"/>
      <c r="Z77" s="569"/>
      <c r="AA77" s="569"/>
      <c r="AB77" s="569"/>
      <c r="AC77" s="569"/>
      <c r="AD77" s="569"/>
      <c r="AE77" s="296"/>
      <c r="AF77" s="931">
        <f t="shared" si="54"/>
        <v>0</v>
      </c>
      <c r="AG77" s="296"/>
      <c r="AH77" s="296"/>
      <c r="AI77" s="247"/>
      <c r="AJ77" s="359"/>
      <c r="AK77" s="296">
        <v>0</v>
      </c>
      <c r="AL77" s="296"/>
      <c r="AM77" s="296"/>
      <c r="AN77" s="296"/>
      <c r="AO77" s="296"/>
      <c r="AP77" s="360"/>
      <c r="AQ77" s="351"/>
      <c r="AR77" s="296"/>
      <c r="AS77" s="351"/>
      <c r="AT77" s="632"/>
      <c r="AU77" s="632"/>
      <c r="AV77" s="570">
        <f t="shared" si="55"/>
        <v>0</v>
      </c>
      <c r="AW77" s="568">
        <f t="shared" si="56"/>
        <v>0</v>
      </c>
      <c r="AX77" s="361"/>
      <c r="AY77" s="359">
        <v>0</v>
      </c>
      <c r="AZ77" s="360">
        <f>ROUND(AV77+AY77,-3)</f>
        <v>0</v>
      </c>
      <c r="BA77" s="655">
        <v>0</v>
      </c>
      <c r="BB77" s="730">
        <v>0</v>
      </c>
      <c r="BC77" s="730"/>
      <c r="BD77" s="731"/>
      <c r="BE77" s="731"/>
      <c r="BF77" s="247"/>
    </row>
    <row r="78" spans="1:59" ht="13.5" customHeight="1" x14ac:dyDescent="0.15">
      <c r="A78" s="637">
        <v>56</v>
      </c>
      <c r="B78" s="8"/>
      <c r="C78" s="1307" t="s">
        <v>278</v>
      </c>
      <c r="D78" s="1308"/>
      <c r="E78" s="1061"/>
      <c r="F78" s="1062"/>
      <c r="G78" s="1062"/>
      <c r="H78" s="1062"/>
      <c r="I78" s="1062"/>
      <c r="J78" s="1062"/>
      <c r="K78" s="1062"/>
      <c r="L78" s="1062"/>
      <c r="M78" s="1062"/>
      <c r="N78" s="1214"/>
      <c r="O78" s="1061"/>
      <c r="P78" s="1062"/>
      <c r="Q78" s="1062"/>
      <c r="R78" s="1063"/>
      <c r="S78" s="1064"/>
      <c r="T78" s="1062"/>
      <c r="U78" s="1062"/>
      <c r="V78" s="1215"/>
      <c r="W78" s="1216"/>
      <c r="X78" s="1217"/>
      <c r="Y78" s="1217"/>
      <c r="Z78" s="1218"/>
      <c r="AA78" s="1218"/>
      <c r="AB78" s="1218"/>
      <c r="AC78" s="1218"/>
      <c r="AD78" s="1218"/>
      <c r="AE78" s="1219"/>
      <c r="AF78" s="1220"/>
      <c r="AG78" s="1219"/>
      <c r="AH78" s="1219"/>
      <c r="AI78" s="849"/>
      <c r="AJ78" s="1221"/>
      <c r="AK78" s="1219"/>
      <c r="AL78" s="1219"/>
      <c r="AM78" s="1219"/>
      <c r="AN78" s="1219"/>
      <c r="AO78" s="1219"/>
      <c r="AP78" s="1222"/>
      <c r="AQ78" s="790"/>
      <c r="AR78" s="1219"/>
      <c r="AS78" s="790"/>
      <c r="AT78" s="1176"/>
      <c r="AU78" s="1176"/>
      <c r="AV78" s="1223"/>
      <c r="AW78" s="1217"/>
      <c r="AX78" s="1224"/>
      <c r="AY78" s="1221"/>
      <c r="AZ78" s="1222"/>
      <c r="BA78" s="1225"/>
      <c r="BB78" s="1226"/>
      <c r="BC78" s="1235">
        <v>40000</v>
      </c>
      <c r="BD78" s="1227"/>
      <c r="BE78" s="1234">
        <v>100000</v>
      </c>
      <c r="BF78" s="849" t="s">
        <v>295</v>
      </c>
    </row>
    <row r="79" spans="1:59" ht="15" customHeight="1" x14ac:dyDescent="0.15">
      <c r="A79" s="637">
        <v>57</v>
      </c>
      <c r="B79" s="1023" t="s">
        <v>190</v>
      </c>
      <c r="C79" s="365"/>
      <c r="D79" s="366"/>
      <c r="E79" s="367">
        <v>0</v>
      </c>
      <c r="F79" s="368">
        <v>0</v>
      </c>
      <c r="G79" s="368">
        <v>0</v>
      </c>
      <c r="H79" s="368">
        <v>0</v>
      </c>
      <c r="I79" s="368">
        <v>0</v>
      </c>
      <c r="J79" s="368">
        <v>0</v>
      </c>
      <c r="K79" s="368">
        <v>0</v>
      </c>
      <c r="L79" s="368">
        <v>0</v>
      </c>
      <c r="M79" s="368">
        <v>0</v>
      </c>
      <c r="N79" s="369">
        <v>0</v>
      </c>
      <c r="O79" s="367">
        <v>1575000</v>
      </c>
      <c r="P79" s="368">
        <v>1575000</v>
      </c>
      <c r="Q79" s="368">
        <v>1260000</v>
      </c>
      <c r="R79" s="370">
        <v>1260000</v>
      </c>
      <c r="S79" s="371">
        <v>1008000</v>
      </c>
      <c r="T79" s="368">
        <v>1008000</v>
      </c>
      <c r="U79" s="368">
        <v>1036800</v>
      </c>
      <c r="V79" s="372">
        <v>1036800</v>
      </c>
      <c r="W79" s="373">
        <f>SUM(W80:W85)</f>
        <v>1587393</v>
      </c>
      <c r="X79" s="378">
        <f t="shared" ref="X79:AE79" si="58">X80+X85</f>
        <v>782800</v>
      </c>
      <c r="Y79" s="378">
        <f t="shared" si="58"/>
        <v>782800</v>
      </c>
      <c r="Z79" s="380">
        <f t="shared" si="58"/>
        <v>1009600</v>
      </c>
      <c r="AA79" s="380">
        <f t="shared" si="58"/>
        <v>1009600</v>
      </c>
      <c r="AB79" s="380">
        <f t="shared" si="58"/>
        <v>1109600</v>
      </c>
      <c r="AC79" s="380">
        <f>AC80+AC85</f>
        <v>1336400</v>
      </c>
      <c r="AD79" s="380">
        <f>AD80+AD85</f>
        <v>1336400</v>
      </c>
      <c r="AE79" s="374">
        <f t="shared" si="58"/>
        <v>1850920</v>
      </c>
      <c r="AF79" s="375">
        <f t="shared" si="54"/>
        <v>226800</v>
      </c>
      <c r="AG79" s="420"/>
      <c r="AH79" s="420"/>
      <c r="AI79" s="421"/>
      <c r="AJ79" s="377">
        <f t="shared" ref="AJ79:AS79" si="59">AJ80+AJ85</f>
        <v>590000</v>
      </c>
      <c r="AK79" s="374">
        <f t="shared" si="59"/>
        <v>1588000</v>
      </c>
      <c r="AL79" s="374">
        <f t="shared" si="59"/>
        <v>64800</v>
      </c>
      <c r="AM79" s="374">
        <f t="shared" si="59"/>
        <v>291600</v>
      </c>
      <c r="AN79" s="374">
        <f t="shared" si="59"/>
        <v>291600</v>
      </c>
      <c r="AO79" s="374">
        <f>AO80+AO85</f>
        <v>351600</v>
      </c>
      <c r="AP79" s="422">
        <f t="shared" si="59"/>
        <v>835100</v>
      </c>
      <c r="AQ79" s="423">
        <f t="shared" si="59"/>
        <v>775100</v>
      </c>
      <c r="AR79" s="374">
        <f t="shared" si="59"/>
        <v>775100</v>
      </c>
      <c r="AS79" s="423">
        <f t="shared" si="59"/>
        <v>855100</v>
      </c>
      <c r="AT79" s="374">
        <f>AT80+AT85</f>
        <v>1081900</v>
      </c>
      <c r="AU79" s="374">
        <f>AU80+AU85</f>
        <v>1081900</v>
      </c>
      <c r="AV79" s="591">
        <f t="shared" si="55"/>
        <v>-254500</v>
      </c>
      <c r="AW79" s="378">
        <f t="shared" si="56"/>
        <v>514520</v>
      </c>
      <c r="AX79" s="382">
        <f>AX80+AX85</f>
        <v>362000</v>
      </c>
      <c r="AY79" s="377">
        <v>1588000</v>
      </c>
      <c r="AZ79" s="422">
        <f>AZ80+AZ85</f>
        <v>1574460</v>
      </c>
      <c r="BA79" s="666">
        <f>BA80+BA85</f>
        <v>1027940</v>
      </c>
      <c r="BB79" s="611">
        <f>BB80+BB85</f>
        <v>980000</v>
      </c>
      <c r="BC79" s="611">
        <f>BC80+BC85</f>
        <v>706000</v>
      </c>
      <c r="BD79" s="611"/>
      <c r="BE79" s="611">
        <f>BE80+BE85</f>
        <v>1700000</v>
      </c>
      <c r="BF79" s="1027"/>
    </row>
    <row r="80" spans="1:59" ht="13.5" customHeight="1" x14ac:dyDescent="0.15">
      <c r="A80" s="637">
        <f t="shared" si="41"/>
        <v>58</v>
      </c>
      <c r="B80" s="8"/>
      <c r="C80" s="781" t="s">
        <v>192</v>
      </c>
      <c r="D80" s="424"/>
      <c r="E80" s="1297" t="s">
        <v>49</v>
      </c>
      <c r="F80" s="1299" t="s">
        <v>49</v>
      </c>
      <c r="G80" s="1299" t="s">
        <v>49</v>
      </c>
      <c r="H80" s="1299" t="s">
        <v>49</v>
      </c>
      <c r="I80" s="1299" t="s">
        <v>49</v>
      </c>
      <c r="J80" s="1299" t="s">
        <v>49</v>
      </c>
      <c r="K80" s="1299" t="s">
        <v>49</v>
      </c>
      <c r="L80" s="1299" t="s">
        <v>49</v>
      </c>
      <c r="M80" s="1299" t="s">
        <v>49</v>
      </c>
      <c r="N80" s="1322" t="s">
        <v>43</v>
      </c>
      <c r="O80" s="425" t="s">
        <v>49</v>
      </c>
      <c r="P80" s="426" t="s">
        <v>49</v>
      </c>
      <c r="Q80" s="426" t="s">
        <v>49</v>
      </c>
      <c r="R80" s="427" t="s">
        <v>43</v>
      </c>
      <c r="S80" s="428" t="s">
        <v>43</v>
      </c>
      <c r="T80" s="426" t="s">
        <v>43</v>
      </c>
      <c r="U80" s="426" t="s">
        <v>43</v>
      </c>
      <c r="V80" s="429" t="s">
        <v>43</v>
      </c>
      <c r="W80" s="430">
        <v>1211493</v>
      </c>
      <c r="X80" s="439">
        <f t="shared" ref="X80:AE80" si="60">SUM(X81:X83)</f>
        <v>393200</v>
      </c>
      <c r="Y80" s="439">
        <f t="shared" si="60"/>
        <v>393200</v>
      </c>
      <c r="Z80" s="449">
        <f t="shared" si="60"/>
        <v>620000</v>
      </c>
      <c r="AA80" s="449">
        <f t="shared" si="60"/>
        <v>620000</v>
      </c>
      <c r="AB80" s="449">
        <f t="shared" si="60"/>
        <v>720000</v>
      </c>
      <c r="AC80" s="449">
        <f>SUM(AC81:AC83)</f>
        <v>946800</v>
      </c>
      <c r="AD80" s="449">
        <f>SUM(AD81:AD83)</f>
        <v>946800</v>
      </c>
      <c r="AE80" s="431">
        <f t="shared" si="60"/>
        <v>1259520</v>
      </c>
      <c r="AF80" s="432">
        <f t="shared" si="54"/>
        <v>226800</v>
      </c>
      <c r="AG80" s="433"/>
      <c r="AH80" s="433"/>
      <c r="AI80" s="434"/>
      <c r="AJ80" s="435">
        <f>SUM(AJ81:AJ83)</f>
        <v>240000</v>
      </c>
      <c r="AK80" s="431">
        <f>SUM(AK81:AK83)</f>
        <v>1238000</v>
      </c>
      <c r="AL80" s="431">
        <f t="shared" ref="AL80:AT80" si="61">SUM(AL81:AL83)</f>
        <v>64800</v>
      </c>
      <c r="AM80" s="431">
        <f t="shared" si="61"/>
        <v>291600</v>
      </c>
      <c r="AN80" s="431">
        <f t="shared" si="61"/>
        <v>291600</v>
      </c>
      <c r="AO80" s="431">
        <f>SUM(AO81:AO83)</f>
        <v>351600</v>
      </c>
      <c r="AP80" s="436">
        <f t="shared" si="61"/>
        <v>658400</v>
      </c>
      <c r="AQ80" s="437">
        <f t="shared" si="61"/>
        <v>598400</v>
      </c>
      <c r="AR80" s="431">
        <f t="shared" si="61"/>
        <v>598400</v>
      </c>
      <c r="AS80" s="437">
        <f t="shared" si="61"/>
        <v>678400</v>
      </c>
      <c r="AT80" s="438">
        <f t="shared" si="61"/>
        <v>905200</v>
      </c>
      <c r="AU80" s="438">
        <f>SUM(AU81:AU83)</f>
        <v>905200</v>
      </c>
      <c r="AV80" s="592">
        <f t="shared" si="55"/>
        <v>-41600</v>
      </c>
      <c r="AW80" s="439">
        <f t="shared" si="56"/>
        <v>312720</v>
      </c>
      <c r="AX80" s="440">
        <f>SUM(AX81:AX83)</f>
        <v>362000</v>
      </c>
      <c r="AY80" s="435">
        <v>1238000</v>
      </c>
      <c r="AZ80" s="593">
        <f>SUM(AZ81:AZ84)</f>
        <v>1397760</v>
      </c>
      <c r="BA80" s="671">
        <f>SUM(BA81:BA83)</f>
        <v>1027940</v>
      </c>
      <c r="BB80" s="615">
        <f>SUM(BB81:BB83)</f>
        <v>980000</v>
      </c>
      <c r="BC80" s="615">
        <f>SUM(BC81:BC83)</f>
        <v>706000</v>
      </c>
      <c r="BD80" s="615"/>
      <c r="BE80" s="615">
        <f t="shared" ref="BE80" si="62">SUM(BE81:BE83)</f>
        <v>1700000</v>
      </c>
      <c r="BF80" s="1028"/>
    </row>
    <row r="81" spans="1:63" ht="13.15" customHeight="1" x14ac:dyDescent="0.15">
      <c r="A81" s="637">
        <f t="shared" si="41"/>
        <v>59</v>
      </c>
      <c r="B81" s="882"/>
      <c r="C81" s="1029"/>
      <c r="D81" s="1030" t="s">
        <v>214</v>
      </c>
      <c r="E81" s="1297"/>
      <c r="F81" s="1299"/>
      <c r="G81" s="1299"/>
      <c r="H81" s="1299"/>
      <c r="I81" s="1299"/>
      <c r="J81" s="1299"/>
      <c r="K81" s="1299"/>
      <c r="L81" s="1299"/>
      <c r="M81" s="1299"/>
      <c r="N81" s="1322"/>
      <c r="O81" s="1031"/>
      <c r="P81" s="1032"/>
      <c r="Q81" s="1032"/>
      <c r="R81" s="1033"/>
      <c r="S81" s="1034"/>
      <c r="T81" s="1032"/>
      <c r="U81" s="1032"/>
      <c r="V81" s="1035"/>
      <c r="W81" s="1036"/>
      <c r="X81" s="1037">
        <v>226800</v>
      </c>
      <c r="Y81" s="1037">
        <v>226800</v>
      </c>
      <c r="Z81" s="1038">
        <v>453600</v>
      </c>
      <c r="AA81" s="1038">
        <v>453600</v>
      </c>
      <c r="AB81" s="1038">
        <v>453600</v>
      </c>
      <c r="AC81" s="1038">
        <v>680400</v>
      </c>
      <c r="AD81" s="1038">
        <v>680400</v>
      </c>
      <c r="AE81" s="1039">
        <v>907200</v>
      </c>
      <c r="AF81" s="1040">
        <f t="shared" si="54"/>
        <v>226800</v>
      </c>
      <c r="AG81" s="1039" t="s">
        <v>35</v>
      </c>
      <c r="AH81" s="1039" t="s">
        <v>35</v>
      </c>
      <c r="AI81" s="791" t="s">
        <v>35</v>
      </c>
      <c r="AJ81" s="1041">
        <v>0</v>
      </c>
      <c r="AK81" s="1042">
        <v>907000</v>
      </c>
      <c r="AL81" s="1039">
        <v>0</v>
      </c>
      <c r="AM81" s="1039">
        <v>226800</v>
      </c>
      <c r="AN81" s="1039">
        <v>226800</v>
      </c>
      <c r="AO81" s="1039">
        <f>226800</f>
        <v>226800</v>
      </c>
      <c r="AP81" s="1043">
        <v>453600</v>
      </c>
      <c r="AQ81" s="805">
        <v>453600</v>
      </c>
      <c r="AR81" s="1039">
        <v>453600</v>
      </c>
      <c r="AS81" s="805">
        <v>453600</v>
      </c>
      <c r="AT81" s="1042">
        <v>680400</v>
      </c>
      <c r="AU81" s="1042">
        <v>680400</v>
      </c>
      <c r="AV81" s="1044">
        <f t="shared" si="55"/>
        <v>0</v>
      </c>
      <c r="AW81" s="1037">
        <f t="shared" si="56"/>
        <v>226800</v>
      </c>
      <c r="AX81" s="1045">
        <v>226800</v>
      </c>
      <c r="AY81" s="1046">
        <v>907000</v>
      </c>
      <c r="AZ81" s="1047">
        <f>AU81+226800</f>
        <v>907200</v>
      </c>
      <c r="BA81" s="1049">
        <f>497200+402840</f>
        <v>900040</v>
      </c>
      <c r="BB81" s="1049">
        <v>880000</v>
      </c>
      <c r="BC81" s="732">
        <f>640000</f>
        <v>640000</v>
      </c>
      <c r="BD81" s="1404" t="s">
        <v>303</v>
      </c>
      <c r="BE81" s="1242">
        <v>1600000</v>
      </c>
      <c r="BF81" s="1240" t="s">
        <v>314</v>
      </c>
      <c r="BG81" s="1051"/>
      <c r="BH81" s="637"/>
      <c r="BI81" s="637"/>
      <c r="BJ81" s="637"/>
      <c r="BK81" s="637"/>
    </row>
    <row r="82" spans="1:63" ht="13.15" customHeight="1" x14ac:dyDescent="0.15">
      <c r="A82" s="637">
        <f t="shared" si="41"/>
        <v>60</v>
      </c>
      <c r="B82" s="882"/>
      <c r="C82" s="1052"/>
      <c r="D82" s="1030" t="s">
        <v>219</v>
      </c>
      <c r="E82" s="1297"/>
      <c r="F82" s="1299"/>
      <c r="G82" s="1299"/>
      <c r="H82" s="1299"/>
      <c r="I82" s="1299"/>
      <c r="J82" s="1299"/>
      <c r="K82" s="1299"/>
      <c r="L82" s="1299"/>
      <c r="M82" s="1299"/>
      <c r="N82" s="1322"/>
      <c r="O82" s="1031"/>
      <c r="P82" s="1032"/>
      <c r="Q82" s="1032"/>
      <c r="R82" s="1033"/>
      <c r="S82" s="1034"/>
      <c r="T82" s="1032"/>
      <c r="U82" s="1032"/>
      <c r="V82" s="1035"/>
      <c r="W82" s="1036"/>
      <c r="X82" s="1037">
        <v>86400</v>
      </c>
      <c r="Y82" s="1037">
        <v>86400</v>
      </c>
      <c r="Z82" s="1038">
        <v>86400</v>
      </c>
      <c r="AA82" s="1038">
        <v>86400</v>
      </c>
      <c r="AB82" s="1038">
        <v>86400</v>
      </c>
      <c r="AC82" s="1038">
        <v>86400</v>
      </c>
      <c r="AD82" s="1038">
        <v>86400</v>
      </c>
      <c r="AE82" s="1039">
        <v>112320</v>
      </c>
      <c r="AF82" s="1040">
        <f t="shared" si="54"/>
        <v>0</v>
      </c>
      <c r="AG82" s="1039"/>
      <c r="AH82" s="1039"/>
      <c r="AI82" s="791"/>
      <c r="AJ82" s="1041">
        <v>0</v>
      </c>
      <c r="AK82" s="1042">
        <v>91000</v>
      </c>
      <c r="AL82" s="1039">
        <v>64800</v>
      </c>
      <c r="AM82" s="1039">
        <v>64800</v>
      </c>
      <c r="AN82" s="1039">
        <v>64800</v>
      </c>
      <c r="AO82" s="1039">
        <v>64800</v>
      </c>
      <c r="AP82" s="1043">
        <v>64800</v>
      </c>
      <c r="AQ82" s="805">
        <v>64800</v>
      </c>
      <c r="AR82" s="1039">
        <v>64800</v>
      </c>
      <c r="AS82" s="805">
        <v>64800</v>
      </c>
      <c r="AT82" s="1042">
        <v>64800</v>
      </c>
      <c r="AU82" s="1042">
        <v>64800</v>
      </c>
      <c r="AV82" s="1044">
        <f t="shared" si="55"/>
        <v>-21600</v>
      </c>
      <c r="AW82" s="1037">
        <f t="shared" si="56"/>
        <v>25920</v>
      </c>
      <c r="AX82" s="1045">
        <v>55200</v>
      </c>
      <c r="AY82" s="1046">
        <v>91000</v>
      </c>
      <c r="AZ82" s="1047">
        <f>AU82+23760</f>
        <v>88560</v>
      </c>
      <c r="BA82" s="1049">
        <f>64800+23100</f>
        <v>87900</v>
      </c>
      <c r="BB82" s="732">
        <v>100000</v>
      </c>
      <c r="BC82" s="732">
        <v>66000</v>
      </c>
      <c r="BD82" s="1243"/>
      <c r="BE82" s="733">
        <v>100000</v>
      </c>
      <c r="BF82" s="1050"/>
      <c r="BG82" s="637"/>
      <c r="BH82" s="637"/>
      <c r="BI82" s="637"/>
      <c r="BJ82" s="637"/>
      <c r="BK82" s="637"/>
    </row>
    <row r="83" spans="1:63" ht="13.15" customHeight="1" x14ac:dyDescent="0.15">
      <c r="A83" s="637">
        <f t="shared" si="41"/>
        <v>61</v>
      </c>
      <c r="B83" s="882"/>
      <c r="C83" s="1052"/>
      <c r="D83" s="1030" t="s">
        <v>204</v>
      </c>
      <c r="E83" s="1297"/>
      <c r="F83" s="1299"/>
      <c r="G83" s="1299"/>
      <c r="H83" s="1299"/>
      <c r="I83" s="1299"/>
      <c r="J83" s="1299"/>
      <c r="K83" s="1299"/>
      <c r="L83" s="1299"/>
      <c r="M83" s="1299"/>
      <c r="N83" s="1322"/>
      <c r="O83" s="1053"/>
      <c r="P83" s="1054"/>
      <c r="Q83" s="1054"/>
      <c r="R83" s="1055"/>
      <c r="S83" s="1056"/>
      <c r="T83" s="1054"/>
      <c r="U83" s="1054"/>
      <c r="V83" s="1035"/>
      <c r="W83" s="1036"/>
      <c r="X83" s="1037">
        <v>80000</v>
      </c>
      <c r="Y83" s="1037">
        <v>80000</v>
      </c>
      <c r="Z83" s="1038">
        <v>80000</v>
      </c>
      <c r="AA83" s="1038">
        <v>80000</v>
      </c>
      <c r="AB83" s="1038">
        <v>180000</v>
      </c>
      <c r="AC83" s="1038">
        <v>180000</v>
      </c>
      <c r="AD83" s="1038">
        <v>180000</v>
      </c>
      <c r="AE83" s="1039">
        <v>240000</v>
      </c>
      <c r="AF83" s="1040">
        <f t="shared" si="54"/>
        <v>0</v>
      </c>
      <c r="AG83" s="1039" t="s">
        <v>9</v>
      </c>
      <c r="AH83" s="1039" t="s">
        <v>9</v>
      </c>
      <c r="AI83" s="791" t="s">
        <v>9</v>
      </c>
      <c r="AJ83" s="1046">
        <v>240000</v>
      </c>
      <c r="AK83" s="1039">
        <v>240000</v>
      </c>
      <c r="AL83" s="1039">
        <v>0</v>
      </c>
      <c r="AM83" s="1039">
        <v>0</v>
      </c>
      <c r="AN83" s="1039">
        <v>0</v>
      </c>
      <c r="AO83" s="1039">
        <v>60000</v>
      </c>
      <c r="AP83" s="1043">
        <v>140000</v>
      </c>
      <c r="AQ83" s="805">
        <v>80000</v>
      </c>
      <c r="AR83" s="1039">
        <v>80000</v>
      </c>
      <c r="AS83" s="805">
        <v>160000</v>
      </c>
      <c r="AT83" s="1042">
        <v>160000</v>
      </c>
      <c r="AU83" s="1042">
        <v>160000</v>
      </c>
      <c r="AV83" s="1044">
        <f t="shared" si="55"/>
        <v>-20000</v>
      </c>
      <c r="AW83" s="1037">
        <f t="shared" si="56"/>
        <v>60000</v>
      </c>
      <c r="AX83" s="1057">
        <v>80000</v>
      </c>
      <c r="AY83" s="1041">
        <v>240000</v>
      </c>
      <c r="AZ83" s="1047">
        <f>AU83+80000</f>
        <v>240000</v>
      </c>
      <c r="BA83" s="1049">
        <v>40000</v>
      </c>
      <c r="BB83" s="732">
        <v>0</v>
      </c>
      <c r="BC83" s="732">
        <v>0</v>
      </c>
      <c r="BD83" s="733" t="s">
        <v>292</v>
      </c>
      <c r="BE83" s="733"/>
      <c r="BF83" s="1058"/>
      <c r="BG83" s="637"/>
      <c r="BH83" s="637"/>
      <c r="BI83" s="637"/>
      <c r="BJ83" s="637"/>
      <c r="BK83" s="637"/>
    </row>
    <row r="84" spans="1:63" ht="14.1" hidden="1" customHeight="1" x14ac:dyDescent="0.15">
      <c r="A84" s="637">
        <f t="shared" si="41"/>
        <v>62</v>
      </c>
      <c r="B84" s="882"/>
      <c r="C84" s="1059"/>
      <c r="D84" s="1060" t="s">
        <v>205</v>
      </c>
      <c r="E84" s="1297"/>
      <c r="F84" s="1299"/>
      <c r="G84" s="1299"/>
      <c r="H84" s="1299"/>
      <c r="I84" s="1299"/>
      <c r="J84" s="1299"/>
      <c r="K84" s="1299"/>
      <c r="L84" s="1299"/>
      <c r="M84" s="1299"/>
      <c r="N84" s="1322"/>
      <c r="O84" s="1061"/>
      <c r="P84" s="1062"/>
      <c r="Q84" s="1062"/>
      <c r="R84" s="1063"/>
      <c r="S84" s="1064"/>
      <c r="T84" s="1062"/>
      <c r="U84" s="1062"/>
      <c r="V84" s="1065"/>
      <c r="W84" s="1066"/>
      <c r="X84" s="1067"/>
      <c r="Y84" s="1067"/>
      <c r="Z84" s="1068"/>
      <c r="AA84" s="1068"/>
      <c r="AB84" s="1068"/>
      <c r="AC84" s="1068"/>
      <c r="AD84" s="1068"/>
      <c r="AE84" s="1069">
        <v>0</v>
      </c>
      <c r="AF84" s="1070"/>
      <c r="AG84" s="1069"/>
      <c r="AH84" s="1069"/>
      <c r="AI84" s="1071"/>
      <c r="AJ84" s="1072">
        <v>0</v>
      </c>
      <c r="AK84" s="1069">
        <v>0</v>
      </c>
      <c r="AL84" s="1069"/>
      <c r="AM84" s="1069"/>
      <c r="AN84" s="1069"/>
      <c r="AO84" s="1069"/>
      <c r="AP84" s="1073"/>
      <c r="AQ84" s="1074"/>
      <c r="AR84" s="1069"/>
      <c r="AS84" s="1074"/>
      <c r="AT84" s="1075"/>
      <c r="AU84" s="1075"/>
      <c r="AV84" s="1076">
        <v>0</v>
      </c>
      <c r="AW84" s="1067">
        <v>0</v>
      </c>
      <c r="AX84" s="1077">
        <v>150000</v>
      </c>
      <c r="AY84" s="1078">
        <v>0</v>
      </c>
      <c r="AZ84" s="1079">
        <v>162000</v>
      </c>
      <c r="BA84" s="1081">
        <v>0</v>
      </c>
      <c r="BB84" s="734">
        <v>0</v>
      </c>
      <c r="BC84" s="734"/>
      <c r="BD84" s="735"/>
      <c r="BE84" s="735"/>
      <c r="BF84" s="1082"/>
      <c r="BG84" s="637"/>
      <c r="BH84" s="637"/>
      <c r="BI84" s="637"/>
      <c r="BJ84" s="637"/>
      <c r="BK84" s="637"/>
    </row>
    <row r="85" spans="1:63" ht="13.5" customHeight="1" x14ac:dyDescent="0.15">
      <c r="A85" s="637">
        <v>62</v>
      </c>
      <c r="B85" s="8"/>
      <c r="C85" s="1000" t="s">
        <v>193</v>
      </c>
      <c r="D85" s="424"/>
      <c r="E85" s="1297"/>
      <c r="F85" s="1299"/>
      <c r="G85" s="1299"/>
      <c r="H85" s="1299"/>
      <c r="I85" s="1299"/>
      <c r="J85" s="1299"/>
      <c r="K85" s="1299"/>
      <c r="L85" s="1299"/>
      <c r="M85" s="1299"/>
      <c r="N85" s="1322"/>
      <c r="O85" s="425" t="s">
        <v>49</v>
      </c>
      <c r="P85" s="426" t="s">
        <v>49</v>
      </c>
      <c r="Q85" s="426" t="s">
        <v>49</v>
      </c>
      <c r="R85" s="427" t="s">
        <v>43</v>
      </c>
      <c r="S85" s="428" t="s">
        <v>43</v>
      </c>
      <c r="T85" s="426" t="s">
        <v>43</v>
      </c>
      <c r="U85" s="426" t="s">
        <v>43</v>
      </c>
      <c r="V85" s="429" t="s">
        <v>43</v>
      </c>
      <c r="W85" s="430">
        <v>375900</v>
      </c>
      <c r="X85" s="439">
        <f t="shared" ref="X85:AE85" si="63">X86</f>
        <v>389600</v>
      </c>
      <c r="Y85" s="439">
        <f t="shared" si="63"/>
        <v>389600</v>
      </c>
      <c r="Z85" s="449">
        <f t="shared" si="63"/>
        <v>389600</v>
      </c>
      <c r="AA85" s="449">
        <f t="shared" si="63"/>
        <v>389600</v>
      </c>
      <c r="AB85" s="449">
        <f t="shared" si="63"/>
        <v>389600</v>
      </c>
      <c r="AC85" s="449">
        <f t="shared" si="63"/>
        <v>389600</v>
      </c>
      <c r="AD85" s="449">
        <f t="shared" si="63"/>
        <v>389600</v>
      </c>
      <c r="AE85" s="431">
        <f t="shared" si="63"/>
        <v>591400</v>
      </c>
      <c r="AF85" s="432">
        <f>Z85-Y85</f>
        <v>0</v>
      </c>
      <c r="AG85" s="433"/>
      <c r="AH85" s="433" t="s">
        <v>146</v>
      </c>
      <c r="AI85" s="434" t="s">
        <v>146</v>
      </c>
      <c r="AJ85" s="435">
        <v>350000</v>
      </c>
      <c r="AK85" s="431">
        <v>350000</v>
      </c>
      <c r="AL85" s="431">
        <f t="shared" ref="AL85:AU85" si="64">AL86</f>
        <v>0</v>
      </c>
      <c r="AM85" s="431">
        <f t="shared" si="64"/>
        <v>0</v>
      </c>
      <c r="AN85" s="431">
        <f t="shared" si="64"/>
        <v>0</v>
      </c>
      <c r="AO85" s="431">
        <f t="shared" si="64"/>
        <v>0</v>
      </c>
      <c r="AP85" s="436">
        <f t="shared" si="64"/>
        <v>176700</v>
      </c>
      <c r="AQ85" s="437">
        <f t="shared" si="64"/>
        <v>176700</v>
      </c>
      <c r="AR85" s="431">
        <f t="shared" si="64"/>
        <v>176700</v>
      </c>
      <c r="AS85" s="437">
        <f t="shared" si="64"/>
        <v>176700</v>
      </c>
      <c r="AT85" s="438">
        <f t="shared" si="64"/>
        <v>176700</v>
      </c>
      <c r="AU85" s="438">
        <f t="shared" si="64"/>
        <v>176700</v>
      </c>
      <c r="AV85" s="592">
        <f>AT85-AC85</f>
        <v>-212900</v>
      </c>
      <c r="AW85" s="439">
        <f>AE85-AD85</f>
        <v>201800</v>
      </c>
      <c r="AX85" s="440">
        <f>AX86</f>
        <v>0</v>
      </c>
      <c r="AY85" s="435">
        <v>350000</v>
      </c>
      <c r="AZ85" s="593">
        <v>176700</v>
      </c>
      <c r="BA85" s="671">
        <f>BA86</f>
        <v>0</v>
      </c>
      <c r="BB85" s="615">
        <v>0</v>
      </c>
      <c r="BC85" s="615">
        <v>0</v>
      </c>
      <c r="BD85" s="684"/>
      <c r="BE85" s="684">
        <v>0</v>
      </c>
      <c r="BF85" s="1083"/>
    </row>
    <row r="86" spans="1:63" ht="13.5" hidden="1" customHeight="1" x14ac:dyDescent="0.15">
      <c r="A86" s="637"/>
      <c r="B86" s="1084"/>
      <c r="C86" s="1052"/>
      <c r="D86" s="1085" t="s">
        <v>4</v>
      </c>
      <c r="E86" s="1298"/>
      <c r="F86" s="1300"/>
      <c r="G86" s="1300"/>
      <c r="H86" s="1300"/>
      <c r="I86" s="1300"/>
      <c r="J86" s="1300"/>
      <c r="K86" s="1300"/>
      <c r="L86" s="1300"/>
      <c r="M86" s="1300"/>
      <c r="N86" s="1323"/>
      <c r="O86" s="1086"/>
      <c r="P86" s="1087"/>
      <c r="Q86" s="1087"/>
      <c r="R86" s="1088"/>
      <c r="S86" s="1089"/>
      <c r="T86" s="1087"/>
      <c r="U86" s="1087"/>
      <c r="V86" s="1090"/>
      <c r="W86" s="1091"/>
      <c r="X86" s="1092">
        <v>389600</v>
      </c>
      <c r="Y86" s="1092">
        <v>389600</v>
      </c>
      <c r="Z86" s="1093">
        <v>389600</v>
      </c>
      <c r="AA86" s="1093">
        <v>389600</v>
      </c>
      <c r="AB86" s="1093">
        <v>389600</v>
      </c>
      <c r="AC86" s="1093">
        <v>389600</v>
      </c>
      <c r="AD86" s="1093">
        <v>389600</v>
      </c>
      <c r="AE86" s="1094">
        <v>591400</v>
      </c>
      <c r="AF86" s="1095">
        <f>Z86-Y86</f>
        <v>0</v>
      </c>
      <c r="AG86" s="1094" t="s">
        <v>12</v>
      </c>
      <c r="AH86" s="1094" t="s">
        <v>12</v>
      </c>
      <c r="AI86" s="858" t="s">
        <v>12</v>
      </c>
      <c r="AJ86" s="1096"/>
      <c r="AK86" s="1094">
        <v>350000</v>
      </c>
      <c r="AL86" s="1094">
        <v>0</v>
      </c>
      <c r="AM86" s="1094">
        <v>0</v>
      </c>
      <c r="AN86" s="1094">
        <v>0</v>
      </c>
      <c r="AO86" s="1094">
        <v>0</v>
      </c>
      <c r="AP86" s="1097">
        <v>176700</v>
      </c>
      <c r="AQ86" s="1098">
        <v>176700</v>
      </c>
      <c r="AR86" s="1094">
        <v>176700</v>
      </c>
      <c r="AS86" s="1098">
        <v>176700</v>
      </c>
      <c r="AT86" s="1099">
        <v>176700</v>
      </c>
      <c r="AU86" s="1099">
        <v>176700</v>
      </c>
      <c r="AV86" s="1100">
        <f>AT86-AC86</f>
        <v>-212900</v>
      </c>
      <c r="AW86" s="1092">
        <f>AE86-AD86</f>
        <v>201800</v>
      </c>
      <c r="AX86" s="1101">
        <v>0</v>
      </c>
      <c r="AY86" s="1102">
        <v>350000</v>
      </c>
      <c r="AZ86" s="1103"/>
      <c r="BA86" s="672">
        <v>0</v>
      </c>
      <c r="BB86" s="616">
        <v>0</v>
      </c>
      <c r="BC86" s="616"/>
      <c r="BD86" s="685"/>
      <c r="BE86" s="685"/>
      <c r="BF86" s="1104"/>
    </row>
    <row r="87" spans="1:63" ht="13.5" customHeight="1" x14ac:dyDescent="0.15">
      <c r="A87" s="637">
        <v>63</v>
      </c>
      <c r="B87" s="882"/>
      <c r="C87" s="950" t="s">
        <v>209</v>
      </c>
      <c r="D87" s="930"/>
      <c r="E87" s="1105"/>
      <c r="F87" s="1106"/>
      <c r="G87" s="1106"/>
      <c r="H87" s="1106"/>
      <c r="I87" s="1106"/>
      <c r="J87" s="1106"/>
      <c r="K87" s="1106"/>
      <c r="L87" s="1106"/>
      <c r="M87" s="1106"/>
      <c r="N87" s="1107"/>
      <c r="O87" s="352"/>
      <c r="P87" s="353"/>
      <c r="Q87" s="353"/>
      <c r="R87" s="354"/>
      <c r="S87" s="355"/>
      <c r="T87" s="353"/>
      <c r="U87" s="353"/>
      <c r="V87" s="356"/>
      <c r="W87" s="357"/>
      <c r="X87" s="568"/>
      <c r="Y87" s="568"/>
      <c r="Z87" s="569"/>
      <c r="AA87" s="569"/>
      <c r="AB87" s="569"/>
      <c r="AC87" s="569"/>
      <c r="AD87" s="569"/>
      <c r="AE87" s="296"/>
      <c r="AF87" s="931"/>
      <c r="AG87" s="296"/>
      <c r="AH87" s="296"/>
      <c r="AI87" s="247"/>
      <c r="AJ87" s="1108"/>
      <c r="AK87" s="296"/>
      <c r="AL87" s="296">
        <v>0</v>
      </c>
      <c r="AM87" s="296">
        <v>0</v>
      </c>
      <c r="AN87" s="296">
        <v>0</v>
      </c>
      <c r="AO87" s="296"/>
      <c r="AP87" s="360"/>
      <c r="AQ87" s="351"/>
      <c r="AR87" s="296"/>
      <c r="AS87" s="351"/>
      <c r="AT87" s="632"/>
      <c r="AU87" s="632"/>
      <c r="AV87" s="570"/>
      <c r="AW87" s="568"/>
      <c r="AX87" s="633"/>
      <c r="AY87" s="634"/>
      <c r="AZ87" s="635">
        <v>0</v>
      </c>
      <c r="BA87" s="673">
        <v>0</v>
      </c>
      <c r="BB87" s="636">
        <v>0</v>
      </c>
      <c r="BC87" s="636">
        <v>0</v>
      </c>
      <c r="BD87" s="686"/>
      <c r="BE87" s="686">
        <v>0</v>
      </c>
      <c r="BF87" s="1109"/>
    </row>
    <row r="88" spans="1:63" ht="15" customHeight="1" x14ac:dyDescent="0.15">
      <c r="A88" s="637">
        <f>A87+1</f>
        <v>64</v>
      </c>
      <c r="B88" s="1110" t="s">
        <v>191</v>
      </c>
      <c r="C88" s="365"/>
      <c r="D88" s="366"/>
      <c r="E88" s="559">
        <f>E89+E90+E94</f>
        <v>0</v>
      </c>
      <c r="F88" s="378">
        <f t="shared" ref="F88:AY88" si="65">F89+F90+F94</f>
        <v>0</v>
      </c>
      <c r="G88" s="378">
        <f t="shared" si="65"/>
        <v>0</v>
      </c>
      <c r="H88" s="378">
        <f t="shared" si="65"/>
        <v>0</v>
      </c>
      <c r="I88" s="378">
        <f t="shared" si="65"/>
        <v>0</v>
      </c>
      <c r="J88" s="378">
        <f t="shared" si="65"/>
        <v>0</v>
      </c>
      <c r="K88" s="378">
        <f t="shared" si="65"/>
        <v>0</v>
      </c>
      <c r="L88" s="378">
        <f t="shared" si="65"/>
        <v>0</v>
      </c>
      <c r="M88" s="378">
        <f t="shared" si="65"/>
        <v>0</v>
      </c>
      <c r="N88" s="380">
        <f t="shared" si="65"/>
        <v>0</v>
      </c>
      <c r="O88" s="367">
        <f t="shared" si="65"/>
        <v>0</v>
      </c>
      <c r="P88" s="368">
        <f t="shared" si="65"/>
        <v>0</v>
      </c>
      <c r="Q88" s="368">
        <f t="shared" si="65"/>
        <v>0</v>
      </c>
      <c r="R88" s="370">
        <f t="shared" si="65"/>
        <v>0</v>
      </c>
      <c r="S88" s="371">
        <f t="shared" si="65"/>
        <v>0</v>
      </c>
      <c r="T88" s="368">
        <f t="shared" si="65"/>
        <v>0</v>
      </c>
      <c r="U88" s="368">
        <f t="shared" si="65"/>
        <v>0</v>
      </c>
      <c r="V88" s="372">
        <f t="shared" si="65"/>
        <v>0</v>
      </c>
      <c r="W88" s="373">
        <f t="shared" si="65"/>
        <v>0</v>
      </c>
      <c r="X88" s="378">
        <f t="shared" si="65"/>
        <v>72743</v>
      </c>
      <c r="Y88" s="378">
        <f t="shared" si="65"/>
        <v>83910</v>
      </c>
      <c r="Z88" s="380">
        <f t="shared" si="65"/>
        <v>87712</v>
      </c>
      <c r="AA88" s="380">
        <f t="shared" si="65"/>
        <v>90073</v>
      </c>
      <c r="AB88" s="380">
        <f t="shared" si="65"/>
        <v>90073</v>
      </c>
      <c r="AC88" s="380">
        <f t="shared" si="65"/>
        <v>99203</v>
      </c>
      <c r="AD88" s="380">
        <f t="shared" si="65"/>
        <v>99203</v>
      </c>
      <c r="AE88" s="374">
        <f t="shared" si="65"/>
        <v>103545</v>
      </c>
      <c r="AF88" s="375">
        <f t="shared" si="65"/>
        <v>3802</v>
      </c>
      <c r="AG88" s="374">
        <f t="shared" si="65"/>
        <v>0</v>
      </c>
      <c r="AH88" s="374">
        <f t="shared" si="65"/>
        <v>0</v>
      </c>
      <c r="AI88" s="376">
        <f t="shared" si="65"/>
        <v>0</v>
      </c>
      <c r="AJ88" s="377">
        <v>80000</v>
      </c>
      <c r="AK88" s="374">
        <f t="shared" si="65"/>
        <v>95000</v>
      </c>
      <c r="AL88" s="374">
        <f t="shared" si="65"/>
        <v>30353</v>
      </c>
      <c r="AM88" s="374">
        <f t="shared" si="65"/>
        <v>72473</v>
      </c>
      <c r="AN88" s="374">
        <f t="shared" si="65"/>
        <v>72473</v>
      </c>
      <c r="AO88" s="374">
        <f>AO89+AO90+AO94</f>
        <v>73553</v>
      </c>
      <c r="AP88" s="422">
        <f t="shared" si="65"/>
        <v>77354</v>
      </c>
      <c r="AQ88" s="423">
        <f t="shared" si="65"/>
        <v>84201</v>
      </c>
      <c r="AR88" s="374">
        <f t="shared" si="65"/>
        <v>85799</v>
      </c>
      <c r="AS88" s="423">
        <f t="shared" si="65"/>
        <v>87899</v>
      </c>
      <c r="AT88" s="374">
        <f t="shared" si="65"/>
        <v>99191</v>
      </c>
      <c r="AU88" s="374">
        <f t="shared" si="65"/>
        <v>102280</v>
      </c>
      <c r="AV88" s="591">
        <f t="shared" si="65"/>
        <v>9924</v>
      </c>
      <c r="AW88" s="378">
        <f t="shared" si="65"/>
        <v>4342</v>
      </c>
      <c r="AX88" s="382">
        <f t="shared" si="65"/>
        <v>10000</v>
      </c>
      <c r="AY88" s="377">
        <f t="shared" si="65"/>
        <v>95000</v>
      </c>
      <c r="AZ88" s="422">
        <f>AZ89+AZ90+AZ94</f>
        <v>103306</v>
      </c>
      <c r="BA88" s="377">
        <f>BA89+BA90+BA94</f>
        <v>117093</v>
      </c>
      <c r="BB88" s="611">
        <f>BB89+BB90+BB94</f>
        <v>53000</v>
      </c>
      <c r="BC88" s="611">
        <f>BC89+BC90+BC94</f>
        <v>34203</v>
      </c>
      <c r="BD88" s="611"/>
      <c r="BE88" s="611">
        <f t="shared" ref="BE88" si="66">BE89+BE90+BE94</f>
        <v>51000</v>
      </c>
      <c r="BF88" s="421"/>
    </row>
    <row r="89" spans="1:63" ht="13.5" customHeight="1" x14ac:dyDescent="0.15">
      <c r="A89" s="637">
        <f t="shared" si="41"/>
        <v>65</v>
      </c>
      <c r="B89" s="1025"/>
      <c r="C89" s="1000" t="s">
        <v>273</v>
      </c>
      <c r="D89" s="1111"/>
      <c r="E89" s="445"/>
      <c r="F89" s="439"/>
      <c r="G89" s="439"/>
      <c r="H89" s="439"/>
      <c r="I89" s="439"/>
      <c r="J89" s="439"/>
      <c r="K89" s="439"/>
      <c r="L89" s="439"/>
      <c r="M89" s="439"/>
      <c r="N89" s="449"/>
      <c r="O89" s="1112"/>
      <c r="P89" s="1113"/>
      <c r="Q89" s="1113"/>
      <c r="R89" s="1114"/>
      <c r="S89" s="1115"/>
      <c r="T89" s="1113"/>
      <c r="U89" s="1113"/>
      <c r="V89" s="1116"/>
      <c r="W89" s="1117"/>
      <c r="X89" s="920">
        <v>47291</v>
      </c>
      <c r="Y89" s="920">
        <v>55650</v>
      </c>
      <c r="Z89" s="1118">
        <v>55888</v>
      </c>
      <c r="AA89" s="1118">
        <v>57249</v>
      </c>
      <c r="AB89" s="1118">
        <v>57249</v>
      </c>
      <c r="AC89" s="1118">
        <v>58847</v>
      </c>
      <c r="AD89" s="1118">
        <v>58847</v>
      </c>
      <c r="AE89" s="433">
        <v>59301</v>
      </c>
      <c r="AF89" s="1119">
        <v>238</v>
      </c>
      <c r="AG89" s="433"/>
      <c r="AH89" s="433"/>
      <c r="AI89" s="434"/>
      <c r="AJ89" s="1324"/>
      <c r="AK89" s="433">
        <v>60000</v>
      </c>
      <c r="AL89" s="433">
        <v>21773</v>
      </c>
      <c r="AM89" s="433">
        <v>60437</v>
      </c>
      <c r="AN89" s="433">
        <v>60437</v>
      </c>
      <c r="AO89" s="433">
        <v>60437</v>
      </c>
      <c r="AP89" s="1120">
        <v>63158</v>
      </c>
      <c r="AQ89" s="1121">
        <v>66765</v>
      </c>
      <c r="AR89" s="433">
        <v>68363</v>
      </c>
      <c r="AS89" s="1121">
        <f>AT89-9996</f>
        <v>69815</v>
      </c>
      <c r="AT89" s="982">
        <f>AU89-2225</f>
        <v>79811</v>
      </c>
      <c r="AU89" s="982">
        <v>82036</v>
      </c>
      <c r="AV89" s="1122">
        <v>20964</v>
      </c>
      <c r="AW89" s="920">
        <v>454</v>
      </c>
      <c r="AX89" s="1123">
        <v>5000</v>
      </c>
      <c r="AY89" s="1124">
        <v>60000</v>
      </c>
      <c r="AZ89" s="1125">
        <v>82036</v>
      </c>
      <c r="BA89" s="1126">
        <v>66307</v>
      </c>
      <c r="BB89" s="722">
        <v>0</v>
      </c>
      <c r="BC89" s="722">
        <v>0</v>
      </c>
      <c r="BD89" s="736" t="s">
        <v>292</v>
      </c>
      <c r="BE89" s="736"/>
      <c r="BF89" s="1127"/>
    </row>
    <row r="90" spans="1:63" ht="13.5" customHeight="1" x14ac:dyDescent="0.15">
      <c r="A90" s="637">
        <v>66</v>
      </c>
      <c r="B90" s="1025"/>
      <c r="C90" s="1000" t="s">
        <v>36</v>
      </c>
      <c r="D90" s="1111"/>
      <c r="E90" s="445">
        <f>SUM(E92:E93)</f>
        <v>0</v>
      </c>
      <c r="F90" s="439">
        <f>SUM(F92:F93)</f>
        <v>0</v>
      </c>
      <c r="G90" s="439">
        <f>SUM(G92:G93)</f>
        <v>0</v>
      </c>
      <c r="H90" s="439">
        <f>SUM(H92:H93)</f>
        <v>0</v>
      </c>
      <c r="I90" s="439">
        <f>SUM(I92:I93)</f>
        <v>0</v>
      </c>
      <c r="J90" s="439"/>
      <c r="K90" s="439"/>
      <c r="L90" s="439"/>
      <c r="M90" s="439"/>
      <c r="N90" s="449"/>
      <c r="O90" s="1112"/>
      <c r="P90" s="1113"/>
      <c r="Q90" s="1113"/>
      <c r="R90" s="1114"/>
      <c r="S90" s="1115"/>
      <c r="T90" s="1113"/>
      <c r="U90" s="1113"/>
      <c r="V90" s="1116"/>
      <c r="W90" s="1117"/>
      <c r="X90" s="920">
        <v>22032</v>
      </c>
      <c r="Y90" s="920">
        <v>24840</v>
      </c>
      <c r="Z90" s="1118">
        <v>28404</v>
      </c>
      <c r="AA90" s="1118">
        <v>29404</v>
      </c>
      <c r="AB90" s="1118">
        <v>29404</v>
      </c>
      <c r="AC90" s="1118">
        <v>36936</v>
      </c>
      <c r="AD90" s="1118">
        <v>36936</v>
      </c>
      <c r="AE90" s="433">
        <v>40824</v>
      </c>
      <c r="AF90" s="1119">
        <v>3564</v>
      </c>
      <c r="AG90" s="433"/>
      <c r="AH90" s="433"/>
      <c r="AI90" s="434"/>
      <c r="AJ90" s="1325"/>
      <c r="AK90" s="433">
        <v>32000</v>
      </c>
      <c r="AL90" s="433">
        <f>3888+1782</f>
        <v>5670</v>
      </c>
      <c r="AM90" s="433">
        <f>4536+432+4158</f>
        <v>9126</v>
      </c>
      <c r="AN90" s="433">
        <f>4536+432+4158</f>
        <v>9126</v>
      </c>
      <c r="AO90" s="433">
        <v>10206</v>
      </c>
      <c r="AP90" s="1120">
        <f t="shared" ref="AP90:AU90" si="67">SUM(AP91:AP93)</f>
        <v>11286</v>
      </c>
      <c r="AQ90" s="1121">
        <f t="shared" si="67"/>
        <v>14526</v>
      </c>
      <c r="AR90" s="433">
        <f t="shared" si="67"/>
        <v>14526</v>
      </c>
      <c r="AS90" s="1121">
        <f t="shared" si="67"/>
        <v>15174</v>
      </c>
      <c r="AT90" s="982">
        <f t="shared" si="67"/>
        <v>16470</v>
      </c>
      <c r="AU90" s="982">
        <f t="shared" si="67"/>
        <v>17334</v>
      </c>
      <c r="AV90" s="1122">
        <v>-10530</v>
      </c>
      <c r="AW90" s="920">
        <v>3888</v>
      </c>
      <c r="AX90" s="1123">
        <v>5000</v>
      </c>
      <c r="AY90" s="1124">
        <v>32000</v>
      </c>
      <c r="AZ90" s="1125">
        <f>SUM(AZ91:AZ93)</f>
        <v>18360</v>
      </c>
      <c r="BA90" s="1126">
        <f>28744+1528+20952-864</f>
        <v>50360</v>
      </c>
      <c r="BB90" s="722">
        <v>50000</v>
      </c>
      <c r="BC90" s="722">
        <f>34430-330</f>
        <v>34100</v>
      </c>
      <c r="BD90" s="736"/>
      <c r="BE90" s="736">
        <v>50000</v>
      </c>
      <c r="BF90" s="1127"/>
    </row>
    <row r="91" spans="1:63" ht="13.5" hidden="1" customHeight="1" x14ac:dyDescent="0.15">
      <c r="A91" s="637"/>
      <c r="B91" s="1025"/>
      <c r="C91" s="1128"/>
      <c r="D91" s="1030" t="s">
        <v>150</v>
      </c>
      <c r="E91" s="441"/>
      <c r="F91" s="442"/>
      <c r="G91" s="442"/>
      <c r="H91" s="442"/>
      <c r="I91" s="442"/>
      <c r="J91" s="442"/>
      <c r="K91" s="442"/>
      <c r="L91" s="442"/>
      <c r="M91" s="442"/>
      <c r="N91" s="443"/>
      <c r="O91" s="1031"/>
      <c r="P91" s="1032"/>
      <c r="Q91" s="1032"/>
      <c r="R91" s="1033"/>
      <c r="S91" s="1034"/>
      <c r="T91" s="1032"/>
      <c r="U91" s="1032"/>
      <c r="V91" s="1035"/>
      <c r="W91" s="1036"/>
      <c r="X91" s="1037"/>
      <c r="Y91" s="1037"/>
      <c r="Z91" s="1038"/>
      <c r="AA91" s="1038"/>
      <c r="AB91" s="1038"/>
      <c r="AC91" s="1038"/>
      <c r="AD91" s="1038"/>
      <c r="AE91" s="1039"/>
      <c r="AF91" s="1040"/>
      <c r="AG91" s="1039"/>
      <c r="AH91" s="1039"/>
      <c r="AI91" s="791"/>
      <c r="AJ91" s="1325"/>
      <c r="AK91" s="803"/>
      <c r="AL91" s="1039"/>
      <c r="AM91" s="1039"/>
      <c r="AN91" s="1039"/>
      <c r="AO91" s="1039"/>
      <c r="AP91" s="1043">
        <v>5832</v>
      </c>
      <c r="AQ91" s="805">
        <v>7560</v>
      </c>
      <c r="AR91" s="1039">
        <v>7560</v>
      </c>
      <c r="AS91" s="805">
        <v>8208</v>
      </c>
      <c r="AT91" s="1042">
        <v>9504</v>
      </c>
      <c r="AU91" s="1042">
        <v>10368</v>
      </c>
      <c r="AV91" s="1044"/>
      <c r="AW91" s="1037">
        <v>0</v>
      </c>
      <c r="AX91" s="1129"/>
      <c r="AY91" s="1048"/>
      <c r="AZ91" s="1047">
        <f>10368+432+432+648</f>
        <v>11880</v>
      </c>
      <c r="BA91" s="1049"/>
      <c r="BB91" s="732"/>
      <c r="BC91" s="732"/>
      <c r="BD91" s="733"/>
      <c r="BE91" s="733"/>
      <c r="BF91" s="1050"/>
    </row>
    <row r="92" spans="1:63" ht="13.5" hidden="1" customHeight="1" x14ac:dyDescent="0.15">
      <c r="A92" s="637"/>
      <c r="B92" s="1025"/>
      <c r="C92" s="1128"/>
      <c r="D92" s="1030" t="s">
        <v>151</v>
      </c>
      <c r="E92" s="441"/>
      <c r="F92" s="442"/>
      <c r="G92" s="442"/>
      <c r="H92" s="442"/>
      <c r="I92" s="442"/>
      <c r="J92" s="442"/>
      <c r="K92" s="442"/>
      <c r="L92" s="442"/>
      <c r="M92" s="442"/>
      <c r="N92" s="443"/>
      <c r="O92" s="1031"/>
      <c r="P92" s="1032"/>
      <c r="Q92" s="1032"/>
      <c r="R92" s="1033"/>
      <c r="S92" s="1034"/>
      <c r="T92" s="1032"/>
      <c r="U92" s="1032"/>
      <c r="V92" s="1035"/>
      <c r="W92" s="1036"/>
      <c r="X92" s="1037"/>
      <c r="Y92" s="1037"/>
      <c r="Z92" s="1038"/>
      <c r="AA92" s="1038"/>
      <c r="AB92" s="1038"/>
      <c r="AC92" s="1038"/>
      <c r="AD92" s="1038"/>
      <c r="AE92" s="1039"/>
      <c r="AF92" s="1040"/>
      <c r="AG92" s="1039"/>
      <c r="AH92" s="1039"/>
      <c r="AI92" s="791"/>
      <c r="AJ92" s="1325"/>
      <c r="AK92" s="803"/>
      <c r="AL92" s="1039"/>
      <c r="AM92" s="1039"/>
      <c r="AN92" s="1039"/>
      <c r="AO92" s="1039"/>
      <c r="AP92" s="1043">
        <v>1296</v>
      </c>
      <c r="AQ92" s="805">
        <v>2808</v>
      </c>
      <c r="AR92" s="1039">
        <v>2808</v>
      </c>
      <c r="AS92" s="805">
        <v>2808</v>
      </c>
      <c r="AT92" s="1042">
        <v>2808</v>
      </c>
      <c r="AU92" s="1042">
        <v>2808</v>
      </c>
      <c r="AV92" s="1044"/>
      <c r="AW92" s="1037">
        <v>0</v>
      </c>
      <c r="AX92" s="1129"/>
      <c r="AY92" s="1048"/>
      <c r="AZ92" s="1047">
        <v>2808</v>
      </c>
      <c r="BA92" s="1049"/>
      <c r="BB92" s="732"/>
      <c r="BC92" s="732"/>
      <c r="BD92" s="733"/>
      <c r="BE92" s="733"/>
      <c r="BF92" s="1050"/>
    </row>
    <row r="93" spans="1:63" ht="13.5" hidden="1" customHeight="1" x14ac:dyDescent="0.15">
      <c r="A93" s="637"/>
      <c r="B93" s="1025"/>
      <c r="C93" s="1059"/>
      <c r="D93" s="1060" t="s">
        <v>153</v>
      </c>
      <c r="E93" s="446"/>
      <c r="F93" s="447"/>
      <c r="G93" s="447"/>
      <c r="H93" s="447"/>
      <c r="I93" s="447"/>
      <c r="J93" s="447"/>
      <c r="K93" s="447"/>
      <c r="L93" s="447"/>
      <c r="M93" s="447"/>
      <c r="N93" s="448"/>
      <c r="O93" s="1130"/>
      <c r="P93" s="1131"/>
      <c r="Q93" s="1131"/>
      <c r="R93" s="1132"/>
      <c r="S93" s="1133"/>
      <c r="T93" s="1131"/>
      <c r="U93" s="1131"/>
      <c r="V93" s="1065"/>
      <c r="W93" s="1066"/>
      <c r="X93" s="1067"/>
      <c r="Y93" s="1067"/>
      <c r="Z93" s="1068"/>
      <c r="AA93" s="1068"/>
      <c r="AB93" s="1068"/>
      <c r="AC93" s="1068"/>
      <c r="AD93" s="1068"/>
      <c r="AE93" s="1069"/>
      <c r="AF93" s="1070"/>
      <c r="AG93" s="1069"/>
      <c r="AH93" s="1069"/>
      <c r="AI93" s="1071"/>
      <c r="AJ93" s="1325"/>
      <c r="AK93" s="818"/>
      <c r="AL93" s="1069"/>
      <c r="AM93" s="1069"/>
      <c r="AN93" s="1069"/>
      <c r="AO93" s="1069"/>
      <c r="AP93" s="1073">
        <v>4158</v>
      </c>
      <c r="AQ93" s="1074">
        <v>4158</v>
      </c>
      <c r="AR93" s="1069">
        <v>4158</v>
      </c>
      <c r="AS93" s="1074">
        <v>4158</v>
      </c>
      <c r="AT93" s="1075">
        <v>4158</v>
      </c>
      <c r="AU93" s="1075">
        <v>4158</v>
      </c>
      <c r="AV93" s="1076"/>
      <c r="AW93" s="1067">
        <v>0</v>
      </c>
      <c r="AX93" s="1134"/>
      <c r="AY93" s="1080"/>
      <c r="AZ93" s="1079">
        <v>3672</v>
      </c>
      <c r="BA93" s="1081"/>
      <c r="BB93" s="737"/>
      <c r="BC93" s="737"/>
      <c r="BD93" s="738"/>
      <c r="BE93" s="738"/>
      <c r="BF93" s="1135"/>
    </row>
    <row r="94" spans="1:63" ht="13.5" customHeight="1" x14ac:dyDescent="0.15">
      <c r="A94" s="637">
        <v>67</v>
      </c>
      <c r="B94" s="1084"/>
      <c r="C94" s="950" t="s">
        <v>37</v>
      </c>
      <c r="D94" s="951"/>
      <c r="E94" s="952"/>
      <c r="F94" s="953"/>
      <c r="G94" s="953"/>
      <c r="H94" s="953"/>
      <c r="I94" s="953"/>
      <c r="J94" s="953"/>
      <c r="K94" s="953"/>
      <c r="L94" s="953"/>
      <c r="M94" s="953"/>
      <c r="N94" s="954"/>
      <c r="O94" s="952"/>
      <c r="P94" s="953"/>
      <c r="Q94" s="953"/>
      <c r="R94" s="955"/>
      <c r="S94" s="956"/>
      <c r="T94" s="953"/>
      <c r="U94" s="953"/>
      <c r="V94" s="957"/>
      <c r="W94" s="958"/>
      <c r="X94" s="959">
        <v>3420</v>
      </c>
      <c r="Y94" s="959">
        <v>3420</v>
      </c>
      <c r="Z94" s="960">
        <v>3420</v>
      </c>
      <c r="AA94" s="960">
        <v>3420</v>
      </c>
      <c r="AB94" s="960">
        <v>3420</v>
      </c>
      <c r="AC94" s="960">
        <v>3420</v>
      </c>
      <c r="AD94" s="960">
        <v>3420</v>
      </c>
      <c r="AE94" s="632">
        <v>3420</v>
      </c>
      <c r="AF94" s="961">
        <f t="shared" ref="AF94:AF101" si="68">Z94-Y94</f>
        <v>0</v>
      </c>
      <c r="AG94" s="632"/>
      <c r="AH94" s="632"/>
      <c r="AI94" s="962"/>
      <c r="AJ94" s="1326"/>
      <c r="AK94" s="632">
        <v>3000</v>
      </c>
      <c r="AL94" s="632">
        <v>2910</v>
      </c>
      <c r="AM94" s="632">
        <v>2910</v>
      </c>
      <c r="AN94" s="632">
        <v>2910</v>
      </c>
      <c r="AO94" s="632">
        <v>2910</v>
      </c>
      <c r="AP94" s="967">
        <v>2910</v>
      </c>
      <c r="AQ94" s="1020">
        <v>2910</v>
      </c>
      <c r="AR94" s="632">
        <v>2910</v>
      </c>
      <c r="AS94" s="1020">
        <v>2910</v>
      </c>
      <c r="AT94" s="1021">
        <v>2910</v>
      </c>
      <c r="AU94" s="1021">
        <v>2910</v>
      </c>
      <c r="AV94" s="1022">
        <f t="shared" ref="AV94:AV101" si="69">AT94-AC94</f>
        <v>-510</v>
      </c>
      <c r="AW94" s="959">
        <f t="shared" ref="AW94:AW101" si="70">AE94-AD94</f>
        <v>0</v>
      </c>
      <c r="AX94" s="966">
        <v>0</v>
      </c>
      <c r="AY94" s="963">
        <v>3000</v>
      </c>
      <c r="AZ94" s="967">
        <v>2910</v>
      </c>
      <c r="BA94" s="968">
        <v>426</v>
      </c>
      <c r="BB94" s="720">
        <v>3000</v>
      </c>
      <c r="BC94" s="720">
        <v>103</v>
      </c>
      <c r="BD94" s="721"/>
      <c r="BE94" s="721">
        <v>1000</v>
      </c>
      <c r="BF94" s="1136"/>
    </row>
    <row r="95" spans="1:63" ht="15" customHeight="1" x14ac:dyDescent="0.15">
      <c r="A95" s="637">
        <f t="shared" si="41"/>
        <v>68</v>
      </c>
      <c r="B95" s="1137" t="s">
        <v>194</v>
      </c>
      <c r="C95" s="450"/>
      <c r="D95" s="451"/>
      <c r="E95" s="401"/>
      <c r="F95" s="402"/>
      <c r="G95" s="402"/>
      <c r="H95" s="402"/>
      <c r="I95" s="402"/>
      <c r="J95" s="402"/>
      <c r="K95" s="402"/>
      <c r="L95" s="402"/>
      <c r="M95" s="402"/>
      <c r="N95" s="403"/>
      <c r="O95" s="401"/>
      <c r="P95" s="402"/>
      <c r="Q95" s="402"/>
      <c r="R95" s="404"/>
      <c r="S95" s="405"/>
      <c r="T95" s="402"/>
      <c r="U95" s="402"/>
      <c r="V95" s="406"/>
      <c r="W95" s="407">
        <v>0</v>
      </c>
      <c r="X95" s="412">
        <v>0</v>
      </c>
      <c r="Y95" s="412">
        <v>0</v>
      </c>
      <c r="Z95" s="414">
        <v>0</v>
      </c>
      <c r="AA95" s="414">
        <v>0</v>
      </c>
      <c r="AB95" s="414">
        <v>0</v>
      </c>
      <c r="AC95" s="414">
        <v>0</v>
      </c>
      <c r="AD95" s="414">
        <v>0</v>
      </c>
      <c r="AE95" s="408">
        <v>0</v>
      </c>
      <c r="AF95" s="409">
        <f t="shared" si="68"/>
        <v>0</v>
      </c>
      <c r="AG95" s="408"/>
      <c r="AH95" s="408"/>
      <c r="AI95" s="410"/>
      <c r="AJ95" s="411">
        <v>500000</v>
      </c>
      <c r="AK95" s="408">
        <v>200000</v>
      </c>
      <c r="AL95" s="408">
        <v>0</v>
      </c>
      <c r="AM95" s="408">
        <v>0</v>
      </c>
      <c r="AN95" s="408">
        <v>0</v>
      </c>
      <c r="AO95" s="408">
        <v>0</v>
      </c>
      <c r="AP95" s="452">
        <v>0</v>
      </c>
      <c r="AQ95" s="453">
        <v>200000</v>
      </c>
      <c r="AR95" s="408">
        <v>200000</v>
      </c>
      <c r="AS95" s="453">
        <v>200000</v>
      </c>
      <c r="AT95" s="408">
        <v>200000</v>
      </c>
      <c r="AU95" s="408">
        <v>200000</v>
      </c>
      <c r="AV95" s="454">
        <f t="shared" si="69"/>
        <v>200000</v>
      </c>
      <c r="AW95" s="412">
        <f t="shared" si="70"/>
        <v>0</v>
      </c>
      <c r="AX95" s="416">
        <v>0</v>
      </c>
      <c r="AY95" s="411">
        <v>200000</v>
      </c>
      <c r="AZ95" s="452">
        <v>200000</v>
      </c>
      <c r="BA95" s="668">
        <v>0</v>
      </c>
      <c r="BB95" s="613">
        <f>BB96+BB97</f>
        <v>200000</v>
      </c>
      <c r="BC95" s="613">
        <f t="shared" ref="BC95:BE95" si="71">BC96+BC97</f>
        <v>0</v>
      </c>
      <c r="BD95" s="613"/>
      <c r="BE95" s="613">
        <f t="shared" si="71"/>
        <v>200000</v>
      </c>
      <c r="BF95" s="1138"/>
    </row>
    <row r="96" spans="1:63" ht="13.5" customHeight="1" x14ac:dyDescent="0.15">
      <c r="A96" s="637">
        <f t="shared" si="41"/>
        <v>69</v>
      </c>
      <c r="B96" s="1025"/>
      <c r="C96" s="1000" t="s">
        <v>305</v>
      </c>
      <c r="D96" s="1111"/>
      <c r="E96" s="445"/>
      <c r="F96" s="439"/>
      <c r="G96" s="439"/>
      <c r="H96" s="439"/>
      <c r="I96" s="439"/>
      <c r="J96" s="439"/>
      <c r="K96" s="439"/>
      <c r="L96" s="439"/>
      <c r="M96" s="439"/>
      <c r="N96" s="449"/>
      <c r="O96" s="1112"/>
      <c r="P96" s="1113"/>
      <c r="Q96" s="1113"/>
      <c r="R96" s="1114"/>
      <c r="S96" s="1115"/>
      <c r="T96" s="1113"/>
      <c r="U96" s="1113"/>
      <c r="V96" s="1116"/>
      <c r="W96" s="1117"/>
      <c r="X96" s="920">
        <v>47291</v>
      </c>
      <c r="Y96" s="920">
        <v>55650</v>
      </c>
      <c r="Z96" s="1118">
        <v>55888</v>
      </c>
      <c r="AA96" s="1118">
        <v>57249</v>
      </c>
      <c r="AB96" s="1118">
        <v>57249</v>
      </c>
      <c r="AC96" s="1118">
        <v>58847</v>
      </c>
      <c r="AD96" s="1118">
        <v>58847</v>
      </c>
      <c r="AE96" s="433">
        <v>59301</v>
      </c>
      <c r="AF96" s="1119">
        <v>238</v>
      </c>
      <c r="AG96" s="433"/>
      <c r="AH96" s="433"/>
      <c r="AI96" s="434"/>
      <c r="AJ96" s="377"/>
      <c r="AK96" s="433">
        <v>60000</v>
      </c>
      <c r="AL96" s="433">
        <v>21773</v>
      </c>
      <c r="AM96" s="433">
        <v>60437</v>
      </c>
      <c r="AN96" s="433">
        <v>60437</v>
      </c>
      <c r="AO96" s="433">
        <v>60437</v>
      </c>
      <c r="AP96" s="1120">
        <v>63158</v>
      </c>
      <c r="AQ96" s="1121">
        <v>66765</v>
      </c>
      <c r="AR96" s="433">
        <v>68363</v>
      </c>
      <c r="AS96" s="1121">
        <f>AT96-9996</f>
        <v>69815</v>
      </c>
      <c r="AT96" s="982">
        <f>AU96-2225</f>
        <v>79811</v>
      </c>
      <c r="AU96" s="982">
        <v>82036</v>
      </c>
      <c r="AV96" s="1122">
        <v>20964</v>
      </c>
      <c r="AW96" s="920">
        <v>454</v>
      </c>
      <c r="AX96" s="1123">
        <v>5000</v>
      </c>
      <c r="AY96" s="1124">
        <v>60000</v>
      </c>
      <c r="AZ96" s="1125"/>
      <c r="BA96" s="1126"/>
      <c r="BB96" s="722">
        <v>200000</v>
      </c>
      <c r="BC96" s="722">
        <v>0</v>
      </c>
      <c r="BD96" s="722"/>
      <c r="BE96" s="722">
        <v>0</v>
      </c>
      <c r="BF96" s="1127" t="s">
        <v>307</v>
      </c>
    </row>
    <row r="97" spans="1:58" ht="13.5" customHeight="1" x14ac:dyDescent="0.15">
      <c r="A97" s="637">
        <f t="shared" si="41"/>
        <v>70</v>
      </c>
      <c r="B97" s="1025"/>
      <c r="C97" s="1000" t="s">
        <v>306</v>
      </c>
      <c r="D97" s="1111"/>
      <c r="E97" s="445">
        <f>SUM(E98:E99)</f>
        <v>7809</v>
      </c>
      <c r="F97" s="439">
        <f>SUM(F98:F99)</f>
        <v>0</v>
      </c>
      <c r="G97" s="439">
        <f>SUM(G98:G99)</f>
        <v>0</v>
      </c>
      <c r="H97" s="439">
        <f>SUM(H98:H99)</f>
        <v>630</v>
      </c>
      <c r="I97" s="439">
        <f>SUM(I98:I99)</f>
        <v>0</v>
      </c>
      <c r="J97" s="439"/>
      <c r="K97" s="439"/>
      <c r="L97" s="439"/>
      <c r="M97" s="439"/>
      <c r="N97" s="449"/>
      <c r="O97" s="1112"/>
      <c r="P97" s="1113"/>
      <c r="Q97" s="1113"/>
      <c r="R97" s="1114"/>
      <c r="S97" s="1115"/>
      <c r="T97" s="1113"/>
      <c r="U97" s="1113"/>
      <c r="V97" s="1116"/>
      <c r="W97" s="1117"/>
      <c r="X97" s="920">
        <v>22032</v>
      </c>
      <c r="Y97" s="920">
        <v>24840</v>
      </c>
      <c r="Z97" s="1118">
        <v>28404</v>
      </c>
      <c r="AA97" s="1118">
        <v>29404</v>
      </c>
      <c r="AB97" s="1118">
        <v>29404</v>
      </c>
      <c r="AC97" s="1118">
        <v>36936</v>
      </c>
      <c r="AD97" s="1118">
        <v>36936</v>
      </c>
      <c r="AE97" s="433">
        <v>40824</v>
      </c>
      <c r="AF97" s="1119">
        <v>3564</v>
      </c>
      <c r="AG97" s="433"/>
      <c r="AH97" s="433"/>
      <c r="AI97" s="434"/>
      <c r="AJ97" s="377"/>
      <c r="AK97" s="433">
        <v>32000</v>
      </c>
      <c r="AL97" s="433">
        <f>3888+1782</f>
        <v>5670</v>
      </c>
      <c r="AM97" s="433">
        <f>4536+432+4158</f>
        <v>9126</v>
      </c>
      <c r="AN97" s="433">
        <f>4536+432+4158</f>
        <v>9126</v>
      </c>
      <c r="AO97" s="433">
        <v>10206</v>
      </c>
      <c r="AP97" s="1120">
        <f t="shared" ref="AP97:AU97" si="72">SUM(AP98:AP99)</f>
        <v>3362</v>
      </c>
      <c r="AQ97" s="1121">
        <f t="shared" si="72"/>
        <v>3362</v>
      </c>
      <c r="AR97" s="433">
        <f t="shared" si="72"/>
        <v>3362</v>
      </c>
      <c r="AS97" s="1121">
        <f t="shared" si="72"/>
        <v>3362</v>
      </c>
      <c r="AT97" s="982">
        <f t="shared" si="72"/>
        <v>3362</v>
      </c>
      <c r="AU97" s="982">
        <f t="shared" si="72"/>
        <v>3362</v>
      </c>
      <c r="AV97" s="1122">
        <v>-10530</v>
      </c>
      <c r="AW97" s="920">
        <v>3888</v>
      </c>
      <c r="AX97" s="1123">
        <v>5000</v>
      </c>
      <c r="AY97" s="1124">
        <v>32000</v>
      </c>
      <c r="AZ97" s="1125"/>
      <c r="BA97" s="1126"/>
      <c r="BB97" s="722"/>
      <c r="BC97" s="722"/>
      <c r="BD97" s="736"/>
      <c r="BE97" s="736">
        <v>200000</v>
      </c>
      <c r="BF97" s="1127" t="s">
        <v>310</v>
      </c>
    </row>
    <row r="98" spans="1:58" ht="15" customHeight="1" x14ac:dyDescent="0.15">
      <c r="A98" s="637">
        <v>71</v>
      </c>
      <c r="B98" s="1023" t="s">
        <v>195</v>
      </c>
      <c r="C98" s="365"/>
      <c r="D98" s="366"/>
      <c r="E98" s="367">
        <v>7809</v>
      </c>
      <c r="F98" s="368">
        <v>0</v>
      </c>
      <c r="G98" s="368">
        <v>0</v>
      </c>
      <c r="H98" s="368">
        <v>630</v>
      </c>
      <c r="I98" s="368">
        <v>0</v>
      </c>
      <c r="J98" s="368">
        <v>108679</v>
      </c>
      <c r="K98" s="368">
        <v>117155</v>
      </c>
      <c r="L98" s="368">
        <v>2470</v>
      </c>
      <c r="M98" s="368">
        <v>108385</v>
      </c>
      <c r="N98" s="369">
        <v>2575</v>
      </c>
      <c r="O98" s="367">
        <v>60237</v>
      </c>
      <c r="P98" s="368">
        <v>3705</v>
      </c>
      <c r="Q98" s="368">
        <v>28057</v>
      </c>
      <c r="R98" s="370">
        <v>25005</v>
      </c>
      <c r="S98" s="371">
        <v>76746</v>
      </c>
      <c r="T98" s="368">
        <v>17080</v>
      </c>
      <c r="U98" s="368">
        <v>149201</v>
      </c>
      <c r="V98" s="372">
        <v>103241</v>
      </c>
      <c r="W98" s="373">
        <v>0</v>
      </c>
      <c r="X98" s="378">
        <v>28629</v>
      </c>
      <c r="Y98" s="378">
        <v>28629</v>
      </c>
      <c r="Z98" s="380">
        <v>28629</v>
      </c>
      <c r="AA98" s="380">
        <v>28629</v>
      </c>
      <c r="AB98" s="380">
        <v>28629</v>
      </c>
      <c r="AC98" s="380">
        <v>28629</v>
      </c>
      <c r="AD98" s="380">
        <v>28629</v>
      </c>
      <c r="AE98" s="374">
        <v>28629</v>
      </c>
      <c r="AF98" s="375">
        <f t="shared" si="68"/>
        <v>0</v>
      </c>
      <c r="AG98" s="374"/>
      <c r="AH98" s="374"/>
      <c r="AI98" s="376"/>
      <c r="AJ98" s="377">
        <v>30000</v>
      </c>
      <c r="AK98" s="374">
        <v>2000</v>
      </c>
      <c r="AL98" s="374">
        <f>200+1581</f>
        <v>1781</v>
      </c>
      <c r="AM98" s="374">
        <f>200+1581</f>
        <v>1781</v>
      </c>
      <c r="AN98" s="374">
        <f>200+1581</f>
        <v>1781</v>
      </c>
      <c r="AO98" s="374">
        <f>SUM(AO99:AO101)</f>
        <v>1581</v>
      </c>
      <c r="AP98" s="422">
        <f t="shared" ref="AP98:AU98" si="73">SUM(AP99:AP101)</f>
        <v>1781</v>
      </c>
      <c r="AQ98" s="423">
        <f t="shared" si="73"/>
        <v>1781</v>
      </c>
      <c r="AR98" s="374">
        <f t="shared" si="73"/>
        <v>1781</v>
      </c>
      <c r="AS98" s="423">
        <f t="shared" si="73"/>
        <v>1781</v>
      </c>
      <c r="AT98" s="374">
        <f t="shared" si="73"/>
        <v>1781</v>
      </c>
      <c r="AU98" s="374">
        <f t="shared" si="73"/>
        <v>1781</v>
      </c>
      <c r="AV98" s="591">
        <f t="shared" si="69"/>
        <v>-26848</v>
      </c>
      <c r="AW98" s="378">
        <f t="shared" si="70"/>
        <v>0</v>
      </c>
      <c r="AX98" s="382">
        <f>SUM(AX99:AX101)</f>
        <v>0</v>
      </c>
      <c r="AY98" s="377">
        <f>SUM(AY99:AY101)</f>
        <v>2000</v>
      </c>
      <c r="AZ98" s="422">
        <f>SUM(AZ99:AZ101)</f>
        <v>1781</v>
      </c>
      <c r="BA98" s="666">
        <v>0</v>
      </c>
      <c r="BB98" s="611">
        <v>30000</v>
      </c>
      <c r="BC98" s="611">
        <v>0</v>
      </c>
      <c r="BD98" s="683"/>
      <c r="BE98" s="683">
        <v>30000</v>
      </c>
      <c r="BF98" s="1027"/>
    </row>
    <row r="99" spans="1:58" ht="13.5" hidden="1" customHeight="1" x14ac:dyDescent="0.15">
      <c r="A99" s="637"/>
      <c r="B99" s="1139"/>
      <c r="C99" s="883" t="s">
        <v>38</v>
      </c>
      <c r="D99" s="884"/>
      <c r="E99" s="885"/>
      <c r="F99" s="886"/>
      <c r="G99" s="886"/>
      <c r="H99" s="886"/>
      <c r="I99" s="886"/>
      <c r="J99" s="886"/>
      <c r="K99" s="886"/>
      <c r="L99" s="886"/>
      <c r="M99" s="886"/>
      <c r="N99" s="887"/>
      <c r="O99" s="885"/>
      <c r="P99" s="886"/>
      <c r="Q99" s="886"/>
      <c r="R99" s="888"/>
      <c r="S99" s="889"/>
      <c r="T99" s="886"/>
      <c r="U99" s="886"/>
      <c r="V99" s="890"/>
      <c r="W99" s="891"/>
      <c r="X99" s="892">
        <v>21600</v>
      </c>
      <c r="Y99" s="892">
        <v>21600</v>
      </c>
      <c r="Z99" s="893">
        <v>21600</v>
      </c>
      <c r="AA99" s="893">
        <v>21600</v>
      </c>
      <c r="AB99" s="893">
        <v>21600</v>
      </c>
      <c r="AC99" s="893">
        <v>21600</v>
      </c>
      <c r="AD99" s="893">
        <v>21600</v>
      </c>
      <c r="AE99" s="894">
        <v>21600</v>
      </c>
      <c r="AF99" s="895">
        <f t="shared" si="68"/>
        <v>0</v>
      </c>
      <c r="AG99" s="894"/>
      <c r="AH99" s="894"/>
      <c r="AI99" s="896"/>
      <c r="AJ99" s="897"/>
      <c r="AK99" s="894">
        <v>2000</v>
      </c>
      <c r="AL99" s="894">
        <v>1581</v>
      </c>
      <c r="AM99" s="894">
        <v>1581</v>
      </c>
      <c r="AN99" s="894">
        <v>1581</v>
      </c>
      <c r="AO99" s="894">
        <v>1581</v>
      </c>
      <c r="AP99" s="898">
        <v>1581</v>
      </c>
      <c r="AQ99" s="899">
        <v>1581</v>
      </c>
      <c r="AR99" s="894">
        <v>1581</v>
      </c>
      <c r="AS99" s="899">
        <v>1581</v>
      </c>
      <c r="AT99" s="993">
        <v>1581</v>
      </c>
      <c r="AU99" s="993">
        <v>1581</v>
      </c>
      <c r="AV99" s="900">
        <f t="shared" si="69"/>
        <v>-20019</v>
      </c>
      <c r="AW99" s="892">
        <f t="shared" si="70"/>
        <v>0</v>
      </c>
      <c r="AX99" s="901">
        <v>0</v>
      </c>
      <c r="AY99" s="897">
        <v>2000</v>
      </c>
      <c r="AZ99" s="898">
        <v>1581</v>
      </c>
      <c r="BA99" s="902"/>
      <c r="BB99" s="713"/>
      <c r="BC99" s="713"/>
      <c r="BD99" s="739"/>
      <c r="BE99" s="739"/>
      <c r="BF99" s="945"/>
    </row>
    <row r="100" spans="1:58" ht="13.5" hidden="1" customHeight="1" x14ac:dyDescent="0.15">
      <c r="A100" s="637"/>
      <c r="B100" s="1139"/>
      <c r="C100" s="883" t="s">
        <v>149</v>
      </c>
      <c r="D100" s="884"/>
      <c r="E100" s="885"/>
      <c r="F100" s="886"/>
      <c r="G100" s="886"/>
      <c r="H100" s="886"/>
      <c r="I100" s="886"/>
      <c r="J100" s="886"/>
      <c r="K100" s="886"/>
      <c r="L100" s="886"/>
      <c r="M100" s="886"/>
      <c r="N100" s="887"/>
      <c r="O100" s="885"/>
      <c r="P100" s="886"/>
      <c r="Q100" s="886"/>
      <c r="R100" s="888"/>
      <c r="S100" s="889"/>
      <c r="T100" s="886"/>
      <c r="U100" s="886"/>
      <c r="V100" s="890"/>
      <c r="W100" s="891"/>
      <c r="X100" s="892"/>
      <c r="Y100" s="892"/>
      <c r="Z100" s="893"/>
      <c r="AA100" s="893"/>
      <c r="AB100" s="893"/>
      <c r="AC100" s="893"/>
      <c r="AD100" s="893"/>
      <c r="AE100" s="894"/>
      <c r="AF100" s="895">
        <f t="shared" si="68"/>
        <v>0</v>
      </c>
      <c r="AG100" s="894"/>
      <c r="AH100" s="894"/>
      <c r="AI100" s="896"/>
      <c r="AJ100" s="897"/>
      <c r="AK100" s="894">
        <v>0</v>
      </c>
      <c r="AL100" s="894"/>
      <c r="AM100" s="894"/>
      <c r="AN100" s="894"/>
      <c r="AO100" s="894"/>
      <c r="AP100" s="898">
        <v>200</v>
      </c>
      <c r="AQ100" s="899">
        <v>200</v>
      </c>
      <c r="AR100" s="894">
        <v>200</v>
      </c>
      <c r="AS100" s="899">
        <v>200</v>
      </c>
      <c r="AT100" s="993">
        <v>200</v>
      </c>
      <c r="AU100" s="993">
        <v>200</v>
      </c>
      <c r="AV100" s="900">
        <f t="shared" si="69"/>
        <v>200</v>
      </c>
      <c r="AW100" s="892">
        <f t="shared" si="70"/>
        <v>0</v>
      </c>
      <c r="AX100" s="901">
        <v>0</v>
      </c>
      <c r="AY100" s="897">
        <v>0</v>
      </c>
      <c r="AZ100" s="898">
        <v>200</v>
      </c>
      <c r="BA100" s="902"/>
      <c r="BB100" s="713"/>
      <c r="BC100" s="713"/>
      <c r="BD100" s="739"/>
      <c r="BE100" s="739"/>
      <c r="BF100" s="945"/>
    </row>
    <row r="101" spans="1:58" ht="20.25" hidden="1" customHeight="1" x14ac:dyDescent="0.15">
      <c r="A101" s="637"/>
      <c r="B101" s="1139"/>
      <c r="C101" s="1140" t="s">
        <v>39</v>
      </c>
      <c r="D101" s="972"/>
      <c r="E101" s="973"/>
      <c r="F101" s="974"/>
      <c r="G101" s="974"/>
      <c r="H101" s="974"/>
      <c r="I101" s="974"/>
      <c r="J101" s="974"/>
      <c r="K101" s="974"/>
      <c r="L101" s="974"/>
      <c r="M101" s="974"/>
      <c r="N101" s="975"/>
      <c r="O101" s="973"/>
      <c r="P101" s="974"/>
      <c r="Q101" s="974"/>
      <c r="R101" s="976"/>
      <c r="S101" s="977"/>
      <c r="T101" s="974"/>
      <c r="U101" s="974"/>
      <c r="V101" s="978"/>
      <c r="W101" s="979"/>
      <c r="X101" s="980">
        <v>7029</v>
      </c>
      <c r="Y101" s="980">
        <v>7029</v>
      </c>
      <c r="Z101" s="981">
        <v>7029</v>
      </c>
      <c r="AA101" s="981">
        <v>7029</v>
      </c>
      <c r="AB101" s="981">
        <v>7029</v>
      </c>
      <c r="AC101" s="981">
        <v>7029</v>
      </c>
      <c r="AD101" s="981">
        <v>7029</v>
      </c>
      <c r="AE101" s="982">
        <v>7029</v>
      </c>
      <c r="AF101" s="983">
        <f t="shared" si="68"/>
        <v>0</v>
      </c>
      <c r="AG101" s="982"/>
      <c r="AH101" s="982"/>
      <c r="AI101" s="984"/>
      <c r="AJ101" s="989"/>
      <c r="AK101" s="982">
        <v>0</v>
      </c>
      <c r="AL101" s="982">
        <v>0</v>
      </c>
      <c r="AM101" s="982">
        <v>0</v>
      </c>
      <c r="AN101" s="982">
        <v>0</v>
      </c>
      <c r="AO101" s="982">
        <v>0</v>
      </c>
      <c r="AP101" s="990"/>
      <c r="AQ101" s="1141"/>
      <c r="AR101" s="982"/>
      <c r="AS101" s="1141"/>
      <c r="AT101" s="1142"/>
      <c r="AU101" s="1142"/>
      <c r="AV101" s="1143">
        <f t="shared" si="69"/>
        <v>-7029</v>
      </c>
      <c r="AW101" s="980">
        <f t="shared" si="70"/>
        <v>0</v>
      </c>
      <c r="AX101" s="988">
        <v>0</v>
      </c>
      <c r="AY101" s="989">
        <v>0</v>
      </c>
      <c r="AZ101" s="990"/>
      <c r="BA101" s="991"/>
      <c r="BB101" s="740"/>
      <c r="BC101" s="740"/>
      <c r="BD101" s="741"/>
      <c r="BE101" s="741"/>
      <c r="BF101" s="1144"/>
    </row>
    <row r="102" spans="1:58" ht="16.899999999999999" customHeight="1" x14ac:dyDescent="0.15">
      <c r="A102" s="637">
        <v>72</v>
      </c>
      <c r="B102" s="876" t="s">
        <v>196</v>
      </c>
      <c r="C102" s="477"/>
      <c r="D102" s="478"/>
      <c r="E102" s="456">
        <f t="shared" ref="E102:BC102" si="74">SUM(E103:E104)</f>
        <v>272811</v>
      </c>
      <c r="F102" s="331">
        <f t="shared" si="74"/>
        <v>0</v>
      </c>
      <c r="G102" s="331">
        <f t="shared" si="74"/>
        <v>494550</v>
      </c>
      <c r="H102" s="331">
        <f t="shared" si="74"/>
        <v>502653</v>
      </c>
      <c r="I102" s="331">
        <f t="shared" si="74"/>
        <v>0</v>
      </c>
      <c r="J102" s="331">
        <f t="shared" si="74"/>
        <v>1378011</v>
      </c>
      <c r="K102" s="331">
        <f t="shared" si="74"/>
        <v>80000</v>
      </c>
      <c r="L102" s="331">
        <f t="shared" si="74"/>
        <v>504000</v>
      </c>
      <c r="M102" s="331">
        <f t="shared" si="74"/>
        <v>967660</v>
      </c>
      <c r="N102" s="479">
        <f t="shared" si="74"/>
        <v>951045</v>
      </c>
      <c r="O102" s="480">
        <f t="shared" si="74"/>
        <v>674680</v>
      </c>
      <c r="P102" s="481">
        <f t="shared" si="74"/>
        <v>494000</v>
      </c>
      <c r="Q102" s="481">
        <f t="shared" si="74"/>
        <v>560000</v>
      </c>
      <c r="R102" s="482">
        <f t="shared" si="74"/>
        <v>687989</v>
      </c>
      <c r="S102" s="483">
        <f t="shared" si="74"/>
        <v>506490</v>
      </c>
      <c r="T102" s="481">
        <f t="shared" si="74"/>
        <v>272120</v>
      </c>
      <c r="U102" s="481">
        <f t="shared" si="74"/>
        <v>1600070</v>
      </c>
      <c r="V102" s="334">
        <f t="shared" si="74"/>
        <v>2209878</v>
      </c>
      <c r="W102" s="335">
        <f t="shared" si="74"/>
        <v>1232243</v>
      </c>
      <c r="X102" s="328">
        <f t="shared" si="74"/>
        <v>478141</v>
      </c>
      <c r="Y102" s="328">
        <f t="shared" si="74"/>
        <v>606901</v>
      </c>
      <c r="Z102" s="329">
        <f t="shared" si="74"/>
        <v>689282</v>
      </c>
      <c r="AA102" s="329">
        <f t="shared" si="74"/>
        <v>765740</v>
      </c>
      <c r="AB102" s="329">
        <f t="shared" si="74"/>
        <v>1083986</v>
      </c>
      <c r="AC102" s="329">
        <f t="shared" si="74"/>
        <v>1057144</v>
      </c>
      <c r="AD102" s="329">
        <f t="shared" si="74"/>
        <v>1057144</v>
      </c>
      <c r="AE102" s="336">
        <f t="shared" si="74"/>
        <v>1202412</v>
      </c>
      <c r="AF102" s="337">
        <f t="shared" si="74"/>
        <v>82381</v>
      </c>
      <c r="AG102" s="336">
        <f t="shared" si="74"/>
        <v>0</v>
      </c>
      <c r="AH102" s="336">
        <f t="shared" si="74"/>
        <v>0</v>
      </c>
      <c r="AI102" s="484">
        <f t="shared" si="74"/>
        <v>0</v>
      </c>
      <c r="AJ102" s="340">
        <f t="shared" si="74"/>
        <v>800000</v>
      </c>
      <c r="AK102" s="336">
        <f t="shared" si="74"/>
        <v>1183000</v>
      </c>
      <c r="AL102" s="336">
        <f t="shared" si="74"/>
        <v>387242</v>
      </c>
      <c r="AM102" s="336">
        <f t="shared" si="74"/>
        <v>394644</v>
      </c>
      <c r="AN102" s="336">
        <f t="shared" si="74"/>
        <v>394644</v>
      </c>
      <c r="AO102" s="336">
        <f t="shared" si="74"/>
        <v>325546</v>
      </c>
      <c r="AP102" s="341">
        <f t="shared" si="74"/>
        <v>575936</v>
      </c>
      <c r="AQ102" s="342">
        <f t="shared" si="74"/>
        <v>865056</v>
      </c>
      <c r="AR102" s="336">
        <f t="shared" si="74"/>
        <v>852166</v>
      </c>
      <c r="AS102" s="342">
        <f t="shared" si="74"/>
        <v>878906</v>
      </c>
      <c r="AT102" s="336">
        <f t="shared" si="74"/>
        <v>1037943</v>
      </c>
      <c r="AU102" s="336">
        <f t="shared" si="74"/>
        <v>1037943</v>
      </c>
      <c r="AV102" s="457">
        <f t="shared" si="74"/>
        <v>-105638</v>
      </c>
      <c r="AW102" s="328">
        <f t="shared" si="74"/>
        <v>57490</v>
      </c>
      <c r="AX102" s="343">
        <f t="shared" si="74"/>
        <v>386000</v>
      </c>
      <c r="AY102" s="340">
        <f t="shared" si="74"/>
        <v>1166000</v>
      </c>
      <c r="AZ102" s="341">
        <f t="shared" si="74"/>
        <v>1097177</v>
      </c>
      <c r="BA102" s="662">
        <f t="shared" si="74"/>
        <v>765355</v>
      </c>
      <c r="BB102" s="623">
        <f t="shared" si="74"/>
        <v>905000</v>
      </c>
      <c r="BC102" s="623">
        <f t="shared" si="74"/>
        <v>319470</v>
      </c>
      <c r="BD102" s="623"/>
      <c r="BE102" s="623">
        <f>SUM(BE103:BE104)</f>
        <v>640000</v>
      </c>
      <c r="BF102" s="339"/>
    </row>
    <row r="103" spans="1:58" ht="16.5" customHeight="1" x14ac:dyDescent="0.15">
      <c r="A103" s="637">
        <f t="shared" si="41"/>
        <v>73</v>
      </c>
      <c r="B103" s="878" t="s">
        <v>166</v>
      </c>
      <c r="C103" s="1145"/>
      <c r="D103" s="1146"/>
      <c r="E103" s="1147">
        <v>0</v>
      </c>
      <c r="F103" s="1148">
        <v>0</v>
      </c>
      <c r="G103" s="1148">
        <v>0</v>
      </c>
      <c r="H103" s="1148">
        <v>0</v>
      </c>
      <c r="I103" s="1148">
        <v>0</v>
      </c>
      <c r="J103" s="1148">
        <v>0</v>
      </c>
      <c r="K103" s="1148">
        <v>0</v>
      </c>
      <c r="L103" s="1148">
        <v>0</v>
      </c>
      <c r="M103" s="1148">
        <v>0</v>
      </c>
      <c r="N103" s="1149">
        <v>0</v>
      </c>
      <c r="O103" s="1150">
        <v>0</v>
      </c>
      <c r="P103" s="1151">
        <v>0</v>
      </c>
      <c r="Q103" s="1151">
        <v>0</v>
      </c>
      <c r="R103" s="1152">
        <v>0</v>
      </c>
      <c r="S103" s="1153">
        <v>0</v>
      </c>
      <c r="T103" s="1151">
        <v>0</v>
      </c>
      <c r="U103" s="1151">
        <v>0</v>
      </c>
      <c r="V103" s="1154">
        <v>0</v>
      </c>
      <c r="W103" s="1155">
        <v>0</v>
      </c>
      <c r="X103" s="1148">
        <v>0</v>
      </c>
      <c r="Y103" s="1148">
        <v>0</v>
      </c>
      <c r="Z103" s="1149">
        <v>0</v>
      </c>
      <c r="AA103" s="1149">
        <v>0</v>
      </c>
      <c r="AB103" s="1149">
        <v>0</v>
      </c>
      <c r="AC103" s="1149">
        <v>0</v>
      </c>
      <c r="AD103" s="1149">
        <v>0</v>
      </c>
      <c r="AE103" s="1156">
        <v>0</v>
      </c>
      <c r="AF103" s="1157">
        <v>0</v>
      </c>
      <c r="AG103" s="1156">
        <v>0</v>
      </c>
      <c r="AH103" s="1156">
        <v>0</v>
      </c>
      <c r="AI103" s="1158">
        <v>0</v>
      </c>
      <c r="AJ103" s="1159">
        <v>0</v>
      </c>
      <c r="AK103" s="1156">
        <v>0</v>
      </c>
      <c r="AL103" s="1156">
        <v>0</v>
      </c>
      <c r="AM103" s="1156">
        <v>0</v>
      </c>
      <c r="AN103" s="1156">
        <v>0</v>
      </c>
      <c r="AO103" s="1156">
        <v>0</v>
      </c>
      <c r="AP103" s="1160">
        <v>0</v>
      </c>
      <c r="AQ103" s="1161">
        <v>0</v>
      </c>
      <c r="AR103" s="1156">
        <v>0</v>
      </c>
      <c r="AS103" s="1161">
        <v>0</v>
      </c>
      <c r="AT103" s="1156">
        <v>0</v>
      </c>
      <c r="AU103" s="1156">
        <v>0</v>
      </c>
      <c r="AV103" s="1162">
        <v>0</v>
      </c>
      <c r="AW103" s="1148">
        <v>0</v>
      </c>
      <c r="AX103" s="1163">
        <v>0</v>
      </c>
      <c r="AY103" s="1159">
        <v>0</v>
      </c>
      <c r="AZ103" s="1160">
        <v>0</v>
      </c>
      <c r="BA103" s="1164">
        <v>1944</v>
      </c>
      <c r="BB103" s="743">
        <v>40000</v>
      </c>
      <c r="BC103" s="743">
        <f>2583</f>
        <v>2583</v>
      </c>
      <c r="BD103" s="742" t="s">
        <v>269</v>
      </c>
      <c r="BE103" s="742">
        <v>0</v>
      </c>
      <c r="BF103" s="1241" t="s">
        <v>309</v>
      </c>
    </row>
    <row r="104" spans="1:58" ht="16.5" customHeight="1" x14ac:dyDescent="0.15">
      <c r="A104" s="637">
        <f>A103+1</f>
        <v>74</v>
      </c>
      <c r="B104" s="878" t="s">
        <v>167</v>
      </c>
      <c r="C104" s="1145"/>
      <c r="D104" s="1146"/>
      <c r="E104" s="1147">
        <f>E105+E109+E117+E123+E125+E129</f>
        <v>272811</v>
      </c>
      <c r="F104" s="1148">
        <f t="shared" ref="F104:BC104" si="75">F105+F109+F117+F123+F125+F129</f>
        <v>0</v>
      </c>
      <c r="G104" s="1148">
        <f t="shared" si="75"/>
        <v>494550</v>
      </c>
      <c r="H104" s="1148">
        <f t="shared" si="75"/>
        <v>502653</v>
      </c>
      <c r="I104" s="1148">
        <f t="shared" si="75"/>
        <v>0</v>
      </c>
      <c r="J104" s="1148">
        <f t="shared" si="75"/>
        <v>1378011</v>
      </c>
      <c r="K104" s="1148">
        <f t="shared" si="75"/>
        <v>80000</v>
      </c>
      <c r="L104" s="1148">
        <f t="shared" si="75"/>
        <v>504000</v>
      </c>
      <c r="M104" s="1148">
        <f t="shared" si="75"/>
        <v>967660</v>
      </c>
      <c r="N104" s="1149">
        <f t="shared" si="75"/>
        <v>951045</v>
      </c>
      <c r="O104" s="1150">
        <f t="shared" si="75"/>
        <v>674680</v>
      </c>
      <c r="P104" s="1151">
        <f t="shared" si="75"/>
        <v>494000</v>
      </c>
      <c r="Q104" s="1151">
        <f t="shared" si="75"/>
        <v>560000</v>
      </c>
      <c r="R104" s="1152">
        <f t="shared" si="75"/>
        <v>687989</v>
      </c>
      <c r="S104" s="1153">
        <f t="shared" si="75"/>
        <v>506490</v>
      </c>
      <c r="T104" s="1151">
        <f t="shared" si="75"/>
        <v>272120</v>
      </c>
      <c r="U104" s="1151">
        <f t="shared" si="75"/>
        <v>1600070</v>
      </c>
      <c r="V104" s="1154">
        <f t="shared" si="75"/>
        <v>2209878</v>
      </c>
      <c r="W104" s="1155">
        <f t="shared" si="75"/>
        <v>1232243</v>
      </c>
      <c r="X104" s="1148">
        <f t="shared" si="75"/>
        <v>478141</v>
      </c>
      <c r="Y104" s="1148">
        <f t="shared" si="75"/>
        <v>606901</v>
      </c>
      <c r="Z104" s="1149">
        <f t="shared" si="75"/>
        <v>689282</v>
      </c>
      <c r="AA104" s="1149">
        <f t="shared" si="75"/>
        <v>765740</v>
      </c>
      <c r="AB104" s="1149">
        <f t="shared" si="75"/>
        <v>1083986</v>
      </c>
      <c r="AC104" s="1149">
        <f t="shared" si="75"/>
        <v>1057144</v>
      </c>
      <c r="AD104" s="1149">
        <f t="shared" si="75"/>
        <v>1057144</v>
      </c>
      <c r="AE104" s="1156">
        <f t="shared" si="75"/>
        <v>1202412</v>
      </c>
      <c r="AF104" s="1157">
        <f t="shared" si="75"/>
        <v>82381</v>
      </c>
      <c r="AG104" s="1156">
        <f t="shared" si="75"/>
        <v>0</v>
      </c>
      <c r="AH104" s="1156">
        <f t="shared" si="75"/>
        <v>0</v>
      </c>
      <c r="AI104" s="1158">
        <f t="shared" si="75"/>
        <v>0</v>
      </c>
      <c r="AJ104" s="1159">
        <f t="shared" si="75"/>
        <v>800000</v>
      </c>
      <c r="AK104" s="1156">
        <f t="shared" si="75"/>
        <v>1183000</v>
      </c>
      <c r="AL104" s="1156">
        <f t="shared" si="75"/>
        <v>387242</v>
      </c>
      <c r="AM104" s="1156">
        <f t="shared" si="75"/>
        <v>394644</v>
      </c>
      <c r="AN104" s="1156">
        <f t="shared" si="75"/>
        <v>394644</v>
      </c>
      <c r="AO104" s="1156">
        <f>AO105+AO109+AO117+AO123+AO125+AO129</f>
        <v>325546</v>
      </c>
      <c r="AP104" s="1160">
        <f t="shared" si="75"/>
        <v>575936</v>
      </c>
      <c r="AQ104" s="1161">
        <f t="shared" si="75"/>
        <v>865056</v>
      </c>
      <c r="AR104" s="1156">
        <f t="shared" si="75"/>
        <v>852166</v>
      </c>
      <c r="AS104" s="1161">
        <f t="shared" si="75"/>
        <v>878906</v>
      </c>
      <c r="AT104" s="1156">
        <f t="shared" si="75"/>
        <v>1037943</v>
      </c>
      <c r="AU104" s="1156">
        <f t="shared" si="75"/>
        <v>1037943</v>
      </c>
      <c r="AV104" s="1162">
        <f t="shared" si="75"/>
        <v>-105638</v>
      </c>
      <c r="AW104" s="1148">
        <f t="shared" si="75"/>
        <v>57490</v>
      </c>
      <c r="AX104" s="1163">
        <f t="shared" si="75"/>
        <v>386000</v>
      </c>
      <c r="AY104" s="1159">
        <f t="shared" si="75"/>
        <v>1166000</v>
      </c>
      <c r="AZ104" s="1160">
        <f t="shared" si="75"/>
        <v>1097177</v>
      </c>
      <c r="BA104" s="1164">
        <f t="shared" si="75"/>
        <v>763411</v>
      </c>
      <c r="BB104" s="743">
        <f t="shared" si="75"/>
        <v>865000</v>
      </c>
      <c r="BC104" s="743">
        <f t="shared" si="75"/>
        <v>316887</v>
      </c>
      <c r="BD104" s="743"/>
      <c r="BE104" s="743">
        <f>BE105+BE109+BE117+BE123+BE125+BE129</f>
        <v>640000</v>
      </c>
      <c r="BF104" s="1165"/>
    </row>
    <row r="105" spans="1:58" ht="15" customHeight="1" x14ac:dyDescent="0.15">
      <c r="A105" s="637">
        <f t="shared" si="41"/>
        <v>75</v>
      </c>
      <c r="B105" s="940" t="s">
        <v>180</v>
      </c>
      <c r="C105" s="461"/>
      <c r="D105" s="462"/>
      <c r="E105" s="458">
        <f>SUM(E106:E107)</f>
        <v>0</v>
      </c>
      <c r="F105" s="459">
        <f t="shared" ref="F105:AZ105" si="76">SUM(F106:F107)</f>
        <v>0</v>
      </c>
      <c r="G105" s="459">
        <f t="shared" si="76"/>
        <v>0</v>
      </c>
      <c r="H105" s="459">
        <f t="shared" si="76"/>
        <v>0</v>
      </c>
      <c r="I105" s="459">
        <f t="shared" si="76"/>
        <v>0</v>
      </c>
      <c r="J105" s="459">
        <f t="shared" si="76"/>
        <v>0</v>
      </c>
      <c r="K105" s="459">
        <f t="shared" si="76"/>
        <v>0</v>
      </c>
      <c r="L105" s="459">
        <f t="shared" si="76"/>
        <v>0</v>
      </c>
      <c r="M105" s="459">
        <f t="shared" si="76"/>
        <v>0</v>
      </c>
      <c r="N105" s="460">
        <f t="shared" si="76"/>
        <v>0</v>
      </c>
      <c r="O105" s="458">
        <f t="shared" si="76"/>
        <v>0</v>
      </c>
      <c r="P105" s="464">
        <f t="shared" si="76"/>
        <v>0</v>
      </c>
      <c r="Q105" s="464">
        <f t="shared" si="76"/>
        <v>0</v>
      </c>
      <c r="R105" s="466">
        <f t="shared" si="76"/>
        <v>0</v>
      </c>
      <c r="S105" s="467">
        <f t="shared" si="76"/>
        <v>0</v>
      </c>
      <c r="T105" s="464">
        <f t="shared" si="76"/>
        <v>0</v>
      </c>
      <c r="U105" s="464">
        <f t="shared" si="76"/>
        <v>0</v>
      </c>
      <c r="V105" s="468">
        <f t="shared" si="76"/>
        <v>0</v>
      </c>
      <c r="W105" s="469">
        <f t="shared" si="76"/>
        <v>0</v>
      </c>
      <c r="X105" s="459">
        <f t="shared" si="76"/>
        <v>4200</v>
      </c>
      <c r="Y105" s="459">
        <f t="shared" si="76"/>
        <v>4200</v>
      </c>
      <c r="Z105" s="460">
        <f t="shared" si="76"/>
        <v>4200</v>
      </c>
      <c r="AA105" s="460">
        <f t="shared" si="76"/>
        <v>15630</v>
      </c>
      <c r="AB105" s="460">
        <f t="shared" si="76"/>
        <v>15630</v>
      </c>
      <c r="AC105" s="460">
        <f t="shared" si="76"/>
        <v>15630</v>
      </c>
      <c r="AD105" s="460">
        <f t="shared" si="76"/>
        <v>15630</v>
      </c>
      <c r="AE105" s="470">
        <f t="shared" si="76"/>
        <v>15630</v>
      </c>
      <c r="AF105" s="471">
        <f t="shared" si="76"/>
        <v>0</v>
      </c>
      <c r="AG105" s="470">
        <f t="shared" si="76"/>
        <v>0</v>
      </c>
      <c r="AH105" s="470">
        <f t="shared" si="76"/>
        <v>0</v>
      </c>
      <c r="AI105" s="472">
        <f t="shared" si="76"/>
        <v>0</v>
      </c>
      <c r="AJ105" s="473">
        <f t="shared" si="76"/>
        <v>0</v>
      </c>
      <c r="AK105" s="470">
        <f t="shared" si="76"/>
        <v>7000</v>
      </c>
      <c r="AL105" s="470">
        <f t="shared" si="76"/>
        <v>1200</v>
      </c>
      <c r="AM105" s="470">
        <f t="shared" si="76"/>
        <v>1200</v>
      </c>
      <c r="AN105" s="470">
        <f t="shared" si="76"/>
        <v>1200</v>
      </c>
      <c r="AO105" s="470">
        <f>SUM(AO106:AO107)</f>
        <v>1200</v>
      </c>
      <c r="AP105" s="474">
        <f t="shared" si="76"/>
        <v>1200</v>
      </c>
      <c r="AQ105" s="475">
        <f t="shared" si="76"/>
        <v>3000</v>
      </c>
      <c r="AR105" s="470">
        <f t="shared" si="76"/>
        <v>3000</v>
      </c>
      <c r="AS105" s="475">
        <f t="shared" si="76"/>
        <v>3000</v>
      </c>
      <c r="AT105" s="470">
        <f t="shared" si="76"/>
        <v>3000</v>
      </c>
      <c r="AU105" s="470">
        <f>SUM(AU106:AU108)</f>
        <v>3000</v>
      </c>
      <c r="AV105" s="594">
        <f t="shared" si="76"/>
        <v>-12630</v>
      </c>
      <c r="AW105" s="459">
        <f t="shared" si="76"/>
        <v>0</v>
      </c>
      <c r="AX105" s="476">
        <f t="shared" si="76"/>
        <v>0</v>
      </c>
      <c r="AY105" s="473">
        <f t="shared" si="76"/>
        <v>7000</v>
      </c>
      <c r="AZ105" s="474">
        <f t="shared" si="76"/>
        <v>3000</v>
      </c>
      <c r="BA105" s="674">
        <f>SUM(BA106:BA108)</f>
        <v>17599</v>
      </c>
      <c r="BB105" s="617">
        <f>SUM(BB106:BB108)</f>
        <v>30000</v>
      </c>
      <c r="BC105" s="617">
        <f t="shared" ref="BC105:BE105" si="77">SUM(BC106:BC108)</f>
        <v>6000</v>
      </c>
      <c r="BD105" s="617"/>
      <c r="BE105" s="617">
        <f t="shared" si="77"/>
        <v>40000</v>
      </c>
      <c r="BF105" s="631"/>
    </row>
    <row r="106" spans="1:58" x14ac:dyDescent="0.15">
      <c r="A106" s="637">
        <f t="shared" si="41"/>
        <v>76</v>
      </c>
      <c r="B106" s="1025"/>
      <c r="C106" s="903" t="s">
        <v>6</v>
      </c>
      <c r="D106" s="884"/>
      <c r="E106" s="885"/>
      <c r="F106" s="886"/>
      <c r="G106" s="886"/>
      <c r="H106" s="886"/>
      <c r="I106" s="886"/>
      <c r="J106" s="886"/>
      <c r="K106" s="886"/>
      <c r="L106" s="886"/>
      <c r="M106" s="886"/>
      <c r="N106" s="887"/>
      <c r="O106" s="885"/>
      <c r="P106" s="886"/>
      <c r="Q106" s="886"/>
      <c r="R106" s="888"/>
      <c r="S106" s="889"/>
      <c r="T106" s="886"/>
      <c r="U106" s="886"/>
      <c r="V106" s="890"/>
      <c r="W106" s="891"/>
      <c r="X106" s="892">
        <v>4200</v>
      </c>
      <c r="Y106" s="892">
        <v>4200</v>
      </c>
      <c r="Z106" s="893">
        <v>4200</v>
      </c>
      <c r="AA106" s="893">
        <v>4200</v>
      </c>
      <c r="AB106" s="893">
        <v>4200</v>
      </c>
      <c r="AC106" s="893">
        <v>4200</v>
      </c>
      <c r="AD106" s="893">
        <v>4200</v>
      </c>
      <c r="AE106" s="894">
        <v>4200</v>
      </c>
      <c r="AF106" s="895">
        <f>Z106-Y106</f>
        <v>0</v>
      </c>
      <c r="AG106" s="894" t="s">
        <v>21</v>
      </c>
      <c r="AH106" s="894" t="s">
        <v>21</v>
      </c>
      <c r="AI106" s="896" t="s">
        <v>21</v>
      </c>
      <c r="AJ106" s="1311"/>
      <c r="AK106" s="894">
        <v>1000</v>
      </c>
      <c r="AL106" s="894">
        <v>1200</v>
      </c>
      <c r="AM106" s="894">
        <v>1200</v>
      </c>
      <c r="AN106" s="894">
        <v>1200</v>
      </c>
      <c r="AO106" s="894">
        <v>1200</v>
      </c>
      <c r="AP106" s="898">
        <v>1200</v>
      </c>
      <c r="AQ106" s="1166">
        <v>1200</v>
      </c>
      <c r="AR106" s="993">
        <v>1200</v>
      </c>
      <c r="AS106" s="1166">
        <v>1200</v>
      </c>
      <c r="AT106" s="993">
        <v>1200</v>
      </c>
      <c r="AU106" s="993">
        <v>1200</v>
      </c>
      <c r="AV106" s="900">
        <f t="shared" ref="AV106:AV116" si="78">AT106-AC106</f>
        <v>-3000</v>
      </c>
      <c r="AW106" s="892">
        <f t="shared" ref="AW106:AW116" si="79">AE106-AD106</f>
        <v>0</v>
      </c>
      <c r="AX106" s="901">
        <v>0</v>
      </c>
      <c r="AY106" s="897">
        <v>1000</v>
      </c>
      <c r="AZ106" s="898">
        <v>1200</v>
      </c>
      <c r="BA106" s="902">
        <v>0</v>
      </c>
      <c r="BB106" s="716">
        <v>0</v>
      </c>
      <c r="BC106" s="716">
        <v>0</v>
      </c>
      <c r="BD106" s="719"/>
      <c r="BE106" s="719">
        <v>10000</v>
      </c>
      <c r="BF106" s="945" t="s">
        <v>293</v>
      </c>
    </row>
    <row r="107" spans="1:58" x14ac:dyDescent="0.15">
      <c r="A107" s="637">
        <f t="shared" si="41"/>
        <v>77</v>
      </c>
      <c r="B107" s="1025"/>
      <c r="C107" s="903" t="s">
        <v>221</v>
      </c>
      <c r="D107" s="884"/>
      <c r="E107" s="885"/>
      <c r="F107" s="886"/>
      <c r="G107" s="886"/>
      <c r="H107" s="886"/>
      <c r="I107" s="886"/>
      <c r="J107" s="886"/>
      <c r="K107" s="886"/>
      <c r="L107" s="886"/>
      <c r="M107" s="886"/>
      <c r="N107" s="887"/>
      <c r="O107" s="885"/>
      <c r="P107" s="886"/>
      <c r="Q107" s="886"/>
      <c r="R107" s="888"/>
      <c r="S107" s="889"/>
      <c r="T107" s="886"/>
      <c r="U107" s="886"/>
      <c r="V107" s="890"/>
      <c r="W107" s="891"/>
      <c r="X107" s="892">
        <v>0</v>
      </c>
      <c r="Y107" s="892">
        <v>0</v>
      </c>
      <c r="Z107" s="893">
        <v>0</v>
      </c>
      <c r="AA107" s="893">
        <v>11430</v>
      </c>
      <c r="AB107" s="893">
        <v>11430</v>
      </c>
      <c r="AC107" s="893">
        <v>11430</v>
      </c>
      <c r="AD107" s="893">
        <v>11430</v>
      </c>
      <c r="AE107" s="894">
        <v>11430</v>
      </c>
      <c r="AF107" s="895">
        <f>Z107-Y107</f>
        <v>0</v>
      </c>
      <c r="AG107" s="894" t="s">
        <v>22</v>
      </c>
      <c r="AH107" s="894" t="s">
        <v>22</v>
      </c>
      <c r="AI107" s="896" t="s">
        <v>22</v>
      </c>
      <c r="AJ107" s="1312"/>
      <c r="AK107" s="894">
        <v>6000</v>
      </c>
      <c r="AL107" s="894">
        <v>0</v>
      </c>
      <c r="AM107" s="894">
        <v>0</v>
      </c>
      <c r="AN107" s="894">
        <v>0</v>
      </c>
      <c r="AO107" s="894">
        <v>0</v>
      </c>
      <c r="AP107" s="898">
        <v>0</v>
      </c>
      <c r="AQ107" s="1166">
        <v>1800</v>
      </c>
      <c r="AR107" s="993">
        <v>1800</v>
      </c>
      <c r="AS107" s="1166">
        <v>1800</v>
      </c>
      <c r="AT107" s="993">
        <v>1800</v>
      </c>
      <c r="AU107" s="993">
        <v>1800</v>
      </c>
      <c r="AV107" s="900">
        <f t="shared" si="78"/>
        <v>-9630</v>
      </c>
      <c r="AW107" s="892">
        <f t="shared" si="79"/>
        <v>0</v>
      </c>
      <c r="AX107" s="901">
        <v>0</v>
      </c>
      <c r="AY107" s="897">
        <v>6000</v>
      </c>
      <c r="AZ107" s="898">
        <v>1800</v>
      </c>
      <c r="BA107" s="902">
        <v>17599</v>
      </c>
      <c r="BB107" s="716">
        <v>20000</v>
      </c>
      <c r="BC107" s="716">
        <v>0</v>
      </c>
      <c r="BD107" s="719"/>
      <c r="BE107" s="719">
        <v>20000</v>
      </c>
      <c r="BF107" s="896" t="s">
        <v>293</v>
      </c>
    </row>
    <row r="108" spans="1:58" x14ac:dyDescent="0.15">
      <c r="A108" s="637">
        <f t="shared" si="41"/>
        <v>78</v>
      </c>
      <c r="B108" s="1084"/>
      <c r="C108" s="950" t="s">
        <v>103</v>
      </c>
      <c r="D108" s="951"/>
      <c r="E108" s="1167"/>
      <c r="F108" s="1168"/>
      <c r="G108" s="1168"/>
      <c r="H108" s="1168"/>
      <c r="I108" s="1168"/>
      <c r="J108" s="1168"/>
      <c r="K108" s="1168"/>
      <c r="L108" s="1168"/>
      <c r="M108" s="1168"/>
      <c r="N108" s="1169"/>
      <c r="O108" s="1167"/>
      <c r="P108" s="1168"/>
      <c r="Q108" s="1168"/>
      <c r="R108" s="1170"/>
      <c r="S108" s="1171"/>
      <c r="T108" s="1168"/>
      <c r="U108" s="1168"/>
      <c r="V108" s="1172"/>
      <c r="W108" s="1173"/>
      <c r="X108" s="1174"/>
      <c r="Y108" s="1174"/>
      <c r="Z108" s="1175"/>
      <c r="AA108" s="1175"/>
      <c r="AB108" s="1175"/>
      <c r="AC108" s="1175"/>
      <c r="AD108" s="1175"/>
      <c r="AE108" s="1176"/>
      <c r="AF108" s="1177"/>
      <c r="AG108" s="1176"/>
      <c r="AH108" s="1176"/>
      <c r="AI108" s="1178"/>
      <c r="AJ108" s="1179"/>
      <c r="AK108" s="1176"/>
      <c r="AL108" s="1176"/>
      <c r="AM108" s="1176"/>
      <c r="AN108" s="1176"/>
      <c r="AO108" s="1176"/>
      <c r="AP108" s="1180"/>
      <c r="AQ108" s="1181"/>
      <c r="AR108" s="1182"/>
      <c r="AS108" s="1181"/>
      <c r="AT108" s="1182"/>
      <c r="AU108" s="1182">
        <v>0</v>
      </c>
      <c r="AV108" s="1183"/>
      <c r="AW108" s="1174"/>
      <c r="AX108" s="1184"/>
      <c r="AY108" s="1185"/>
      <c r="AZ108" s="1180">
        <v>0</v>
      </c>
      <c r="BA108" s="1186">
        <v>0</v>
      </c>
      <c r="BB108" s="744">
        <v>10000</v>
      </c>
      <c r="BC108" s="744">
        <v>6000</v>
      </c>
      <c r="BD108" s="745" t="s">
        <v>270</v>
      </c>
      <c r="BE108" s="745">
        <v>10000</v>
      </c>
      <c r="BF108" s="1187"/>
    </row>
    <row r="109" spans="1:58" ht="15" customHeight="1" x14ac:dyDescent="0.15">
      <c r="A109" s="637">
        <f t="shared" ref="A109:A113" si="80">A108+1</f>
        <v>79</v>
      </c>
      <c r="B109" s="1023" t="s">
        <v>181</v>
      </c>
      <c r="C109" s="1188"/>
      <c r="D109" s="1189"/>
      <c r="E109" s="367">
        <f>272811</f>
        <v>272811</v>
      </c>
      <c r="F109" s="368">
        <v>0</v>
      </c>
      <c r="G109" s="368">
        <f>0+494550</f>
        <v>494550</v>
      </c>
      <c r="H109" s="368">
        <f>156500+346153</f>
        <v>502653</v>
      </c>
      <c r="I109" s="368">
        <v>0</v>
      </c>
      <c r="J109" s="368">
        <v>1378011</v>
      </c>
      <c r="K109" s="368">
        <v>80000</v>
      </c>
      <c r="L109" s="368">
        <v>504000</v>
      </c>
      <c r="M109" s="368">
        <v>967660</v>
      </c>
      <c r="N109" s="369">
        <v>951045</v>
      </c>
      <c r="O109" s="367">
        <v>674680</v>
      </c>
      <c r="P109" s="368">
        <v>494000</v>
      </c>
      <c r="Q109" s="368">
        <v>560000</v>
      </c>
      <c r="R109" s="370">
        <v>687989</v>
      </c>
      <c r="S109" s="371">
        <v>506490</v>
      </c>
      <c r="T109" s="368">
        <v>272120</v>
      </c>
      <c r="U109" s="368">
        <v>1600070</v>
      </c>
      <c r="V109" s="372">
        <v>2209878</v>
      </c>
      <c r="W109" s="373">
        <v>1232243</v>
      </c>
      <c r="X109" s="378">
        <f t="shared" ref="X109:AE109" si="81">SUM(X110:X116)</f>
        <v>457212</v>
      </c>
      <c r="Y109" s="378">
        <f t="shared" si="81"/>
        <v>585972</v>
      </c>
      <c r="Z109" s="380">
        <f t="shared" si="81"/>
        <v>671593</v>
      </c>
      <c r="AA109" s="380">
        <f t="shared" si="81"/>
        <v>729785</v>
      </c>
      <c r="AB109" s="380">
        <f t="shared" si="81"/>
        <v>1048031</v>
      </c>
      <c r="AC109" s="380">
        <f t="shared" si="81"/>
        <v>1021189</v>
      </c>
      <c r="AD109" s="380">
        <f t="shared" si="81"/>
        <v>1021189</v>
      </c>
      <c r="AE109" s="374">
        <f t="shared" si="81"/>
        <v>1075439</v>
      </c>
      <c r="AF109" s="375">
        <f>Z109-Y109</f>
        <v>85621</v>
      </c>
      <c r="AG109" s="420"/>
      <c r="AH109" s="420"/>
      <c r="AI109" s="421"/>
      <c r="AJ109" s="377">
        <v>800000</v>
      </c>
      <c r="AK109" s="374">
        <v>926000</v>
      </c>
      <c r="AL109" s="374">
        <f t="shared" ref="AL109:AU109" si="82">SUM(AL110:AL116)</f>
        <v>94180</v>
      </c>
      <c r="AM109" s="374">
        <f t="shared" si="82"/>
        <v>94180</v>
      </c>
      <c r="AN109" s="374">
        <f t="shared" si="82"/>
        <v>94180</v>
      </c>
      <c r="AO109" s="374">
        <f>SUM(AO110:AO116)</f>
        <v>94180</v>
      </c>
      <c r="AP109" s="422">
        <f t="shared" si="82"/>
        <v>344570</v>
      </c>
      <c r="AQ109" s="423">
        <f t="shared" si="82"/>
        <v>632200</v>
      </c>
      <c r="AR109" s="374">
        <f t="shared" si="82"/>
        <v>618860</v>
      </c>
      <c r="AS109" s="423">
        <f t="shared" si="82"/>
        <v>645600</v>
      </c>
      <c r="AT109" s="374">
        <f t="shared" si="82"/>
        <v>718200</v>
      </c>
      <c r="AU109" s="374">
        <f t="shared" si="82"/>
        <v>718200</v>
      </c>
      <c r="AV109" s="591">
        <f t="shared" si="78"/>
        <v>-302989</v>
      </c>
      <c r="AW109" s="378">
        <f t="shared" si="79"/>
        <v>54250</v>
      </c>
      <c r="AX109" s="382">
        <f t="shared" ref="AX109:BE109" si="83">SUM(AX110:AX116)</f>
        <v>386000</v>
      </c>
      <c r="AY109" s="377">
        <f t="shared" si="83"/>
        <v>926000</v>
      </c>
      <c r="AZ109" s="422">
        <f t="shared" si="83"/>
        <v>776570</v>
      </c>
      <c r="BA109" s="670">
        <f t="shared" si="83"/>
        <v>460442</v>
      </c>
      <c r="BB109" s="614">
        <f t="shared" si="83"/>
        <v>480000</v>
      </c>
      <c r="BC109" s="614">
        <f t="shared" si="83"/>
        <v>0</v>
      </c>
      <c r="BD109" s="614"/>
      <c r="BE109" s="614">
        <f t="shared" si="83"/>
        <v>220000</v>
      </c>
      <c r="BF109" s="1024"/>
    </row>
    <row r="110" spans="1:58" x14ac:dyDescent="0.15">
      <c r="A110" s="637">
        <f t="shared" si="80"/>
        <v>80</v>
      </c>
      <c r="B110" s="1025"/>
      <c r="C110" s="1190" t="s">
        <v>5</v>
      </c>
      <c r="D110" s="904"/>
      <c r="E110" s="905"/>
      <c r="F110" s="906"/>
      <c r="G110" s="906"/>
      <c r="H110" s="906"/>
      <c r="I110" s="906"/>
      <c r="J110" s="906"/>
      <c r="K110" s="906"/>
      <c r="L110" s="906"/>
      <c r="M110" s="906"/>
      <c r="N110" s="907"/>
      <c r="O110" s="905"/>
      <c r="P110" s="906"/>
      <c r="Q110" s="906"/>
      <c r="R110" s="908"/>
      <c r="S110" s="909"/>
      <c r="T110" s="906"/>
      <c r="U110" s="906"/>
      <c r="V110" s="910"/>
      <c r="W110" s="911"/>
      <c r="X110" s="912">
        <v>65650</v>
      </c>
      <c r="Y110" s="912">
        <v>65650</v>
      </c>
      <c r="Z110" s="913">
        <v>65650</v>
      </c>
      <c r="AA110" s="913">
        <v>65650</v>
      </c>
      <c r="AB110" s="913">
        <v>266194</v>
      </c>
      <c r="AC110" s="913">
        <v>293602</v>
      </c>
      <c r="AD110" s="913">
        <v>293602</v>
      </c>
      <c r="AE110" s="295">
        <v>293602</v>
      </c>
      <c r="AF110" s="914">
        <f t="shared" ref="AF110:AF116" si="84">Z110-Y110</f>
        <v>0</v>
      </c>
      <c r="AG110" s="295" t="s">
        <v>7</v>
      </c>
      <c r="AH110" s="295" t="s">
        <v>7</v>
      </c>
      <c r="AI110" s="275" t="s">
        <v>7</v>
      </c>
      <c r="AJ110" s="1313"/>
      <c r="AK110" s="295">
        <v>832000</v>
      </c>
      <c r="AL110" s="295">
        <v>0</v>
      </c>
      <c r="AM110" s="295">
        <v>0</v>
      </c>
      <c r="AN110" s="295">
        <v>0</v>
      </c>
      <c r="AO110" s="295">
        <v>0</v>
      </c>
      <c r="AP110" s="861">
        <f>132210</f>
        <v>132210</v>
      </c>
      <c r="AQ110" s="862">
        <v>398130</v>
      </c>
      <c r="AR110" s="295">
        <v>363420</v>
      </c>
      <c r="AS110" s="862">
        <v>363420</v>
      </c>
      <c r="AT110" s="993">
        <v>388890</v>
      </c>
      <c r="AU110" s="993">
        <v>388890</v>
      </c>
      <c r="AV110" s="994">
        <f t="shared" si="78"/>
        <v>95288</v>
      </c>
      <c r="AW110" s="912">
        <f t="shared" si="79"/>
        <v>0</v>
      </c>
      <c r="AX110" s="1191">
        <v>200000</v>
      </c>
      <c r="AY110" s="997">
        <v>832000</v>
      </c>
      <c r="AZ110" s="1192">
        <v>447260</v>
      </c>
      <c r="BA110" s="714">
        <v>389472</v>
      </c>
      <c r="BB110" s="715">
        <v>300000</v>
      </c>
      <c r="BC110" s="715">
        <v>0</v>
      </c>
      <c r="BD110" s="746"/>
      <c r="BE110" s="746">
        <v>100000</v>
      </c>
      <c r="BF110" s="918" t="s">
        <v>293</v>
      </c>
    </row>
    <row r="111" spans="1:58" x14ac:dyDescent="0.15">
      <c r="A111" s="637">
        <f t="shared" si="80"/>
        <v>81</v>
      </c>
      <c r="B111" s="1025"/>
      <c r="C111" s="1190" t="s">
        <v>142</v>
      </c>
      <c r="D111" s="904"/>
      <c r="E111" s="905"/>
      <c r="F111" s="906"/>
      <c r="G111" s="906"/>
      <c r="H111" s="906"/>
      <c r="I111" s="906"/>
      <c r="J111" s="906"/>
      <c r="K111" s="906"/>
      <c r="L111" s="906"/>
      <c r="M111" s="906"/>
      <c r="N111" s="907"/>
      <c r="O111" s="905"/>
      <c r="P111" s="906"/>
      <c r="Q111" s="906"/>
      <c r="R111" s="908"/>
      <c r="S111" s="909"/>
      <c r="T111" s="906"/>
      <c r="U111" s="906"/>
      <c r="V111" s="910"/>
      <c r="W111" s="911"/>
      <c r="X111" s="912"/>
      <c r="Y111" s="912">
        <v>0</v>
      </c>
      <c r="Z111" s="913">
        <v>0</v>
      </c>
      <c r="AA111" s="913">
        <v>0</v>
      </c>
      <c r="AB111" s="913">
        <v>0</v>
      </c>
      <c r="AC111" s="913">
        <v>0</v>
      </c>
      <c r="AD111" s="913">
        <v>0</v>
      </c>
      <c r="AE111" s="295">
        <v>0</v>
      </c>
      <c r="AF111" s="914">
        <f t="shared" si="84"/>
        <v>0</v>
      </c>
      <c r="AG111" s="295"/>
      <c r="AH111" s="295"/>
      <c r="AI111" s="275"/>
      <c r="AJ111" s="1314"/>
      <c r="AK111" s="295">
        <v>0</v>
      </c>
      <c r="AL111" s="295"/>
      <c r="AM111" s="295"/>
      <c r="AN111" s="295"/>
      <c r="AO111" s="295"/>
      <c r="AP111" s="861">
        <v>118180</v>
      </c>
      <c r="AQ111" s="862">
        <v>118180</v>
      </c>
      <c r="AR111" s="295">
        <v>118180</v>
      </c>
      <c r="AS111" s="862">
        <v>118180</v>
      </c>
      <c r="AT111" s="993">
        <v>118180</v>
      </c>
      <c r="AU111" s="993">
        <v>118180</v>
      </c>
      <c r="AV111" s="994">
        <f t="shared" si="78"/>
        <v>118180</v>
      </c>
      <c r="AW111" s="912">
        <f t="shared" si="79"/>
        <v>0</v>
      </c>
      <c r="AX111" s="1191">
        <v>80000</v>
      </c>
      <c r="AY111" s="997">
        <v>0</v>
      </c>
      <c r="AZ111" s="1192">
        <v>118180</v>
      </c>
      <c r="BA111" s="998">
        <v>0</v>
      </c>
      <c r="BB111" s="998">
        <v>100000</v>
      </c>
      <c r="BC111" s="725">
        <v>0</v>
      </c>
      <c r="BD111" s="726"/>
      <c r="BE111" s="726">
        <v>0</v>
      </c>
      <c r="BF111" s="1193"/>
    </row>
    <row r="112" spans="1:58" x14ac:dyDescent="0.15">
      <c r="A112" s="637">
        <f t="shared" si="80"/>
        <v>82</v>
      </c>
      <c r="B112" s="1025"/>
      <c r="C112" s="1190" t="s">
        <v>6</v>
      </c>
      <c r="D112" s="904"/>
      <c r="E112" s="905"/>
      <c r="F112" s="906"/>
      <c r="G112" s="906"/>
      <c r="H112" s="906"/>
      <c r="I112" s="906"/>
      <c r="J112" s="906"/>
      <c r="K112" s="906"/>
      <c r="L112" s="906"/>
      <c r="M112" s="906"/>
      <c r="N112" s="907"/>
      <c r="O112" s="905"/>
      <c r="P112" s="906"/>
      <c r="Q112" s="906"/>
      <c r="R112" s="908"/>
      <c r="S112" s="909"/>
      <c r="T112" s="906"/>
      <c r="U112" s="906"/>
      <c r="V112" s="910"/>
      <c r="W112" s="911"/>
      <c r="X112" s="912">
        <v>134920</v>
      </c>
      <c r="Y112" s="912">
        <v>134920</v>
      </c>
      <c r="Z112" s="913">
        <v>134920</v>
      </c>
      <c r="AA112" s="913">
        <v>134920</v>
      </c>
      <c r="AB112" s="913">
        <v>134920</v>
      </c>
      <c r="AC112" s="913">
        <v>134920</v>
      </c>
      <c r="AD112" s="913">
        <v>134920</v>
      </c>
      <c r="AE112" s="295">
        <v>134920</v>
      </c>
      <c r="AF112" s="914">
        <f t="shared" si="84"/>
        <v>0</v>
      </c>
      <c r="AG112" s="295" t="s">
        <v>8</v>
      </c>
      <c r="AH112" s="295" t="s">
        <v>8</v>
      </c>
      <c r="AI112" s="275" t="s">
        <v>8</v>
      </c>
      <c r="AJ112" s="1314"/>
      <c r="AK112" s="295">
        <v>94000</v>
      </c>
      <c r="AL112" s="295">
        <v>94180</v>
      </c>
      <c r="AM112" s="295">
        <v>94180</v>
      </c>
      <c r="AN112" s="295">
        <v>94180</v>
      </c>
      <c r="AO112" s="295">
        <v>94180</v>
      </c>
      <c r="AP112" s="861">
        <v>94180</v>
      </c>
      <c r="AQ112" s="862">
        <v>94180</v>
      </c>
      <c r="AR112" s="295">
        <v>94180</v>
      </c>
      <c r="AS112" s="862">
        <v>94180</v>
      </c>
      <c r="AT112" s="993">
        <v>94180</v>
      </c>
      <c r="AU112" s="993">
        <v>94180</v>
      </c>
      <c r="AV112" s="994">
        <f t="shared" si="78"/>
        <v>-40740</v>
      </c>
      <c r="AW112" s="912">
        <f t="shared" si="79"/>
        <v>0</v>
      </c>
      <c r="AX112" s="995">
        <v>36000</v>
      </c>
      <c r="AY112" s="866">
        <v>94000</v>
      </c>
      <c r="AZ112" s="1192">
        <v>94180</v>
      </c>
      <c r="BA112" s="998">
        <v>44120</v>
      </c>
      <c r="BB112" s="998">
        <v>0</v>
      </c>
      <c r="BC112" s="725">
        <v>0</v>
      </c>
      <c r="BD112" s="726"/>
      <c r="BE112" s="726">
        <v>70000</v>
      </c>
      <c r="BF112" s="1194" t="s">
        <v>299</v>
      </c>
    </row>
    <row r="113" spans="1:58" ht="13.15" hidden="1" customHeight="1" x14ac:dyDescent="0.15">
      <c r="A113" s="637">
        <f t="shared" si="80"/>
        <v>83</v>
      </c>
      <c r="B113" s="1025"/>
      <c r="C113" s="1190" t="s">
        <v>103</v>
      </c>
      <c r="D113" s="904"/>
      <c r="E113" s="905"/>
      <c r="F113" s="906"/>
      <c r="G113" s="906"/>
      <c r="H113" s="906"/>
      <c r="I113" s="906"/>
      <c r="J113" s="906"/>
      <c r="K113" s="906"/>
      <c r="L113" s="906"/>
      <c r="M113" s="906"/>
      <c r="N113" s="907"/>
      <c r="O113" s="905"/>
      <c r="P113" s="906"/>
      <c r="Q113" s="906"/>
      <c r="R113" s="908"/>
      <c r="S113" s="909"/>
      <c r="T113" s="906"/>
      <c r="U113" s="906"/>
      <c r="V113" s="910"/>
      <c r="W113" s="911"/>
      <c r="X113" s="912"/>
      <c r="Y113" s="912"/>
      <c r="Z113" s="913"/>
      <c r="AA113" s="913"/>
      <c r="AB113" s="913"/>
      <c r="AC113" s="913"/>
      <c r="AD113" s="913"/>
      <c r="AE113" s="295"/>
      <c r="AF113" s="914"/>
      <c r="AG113" s="295"/>
      <c r="AH113" s="295"/>
      <c r="AI113" s="275"/>
      <c r="AJ113" s="1314"/>
      <c r="AK113" s="295"/>
      <c r="AL113" s="295"/>
      <c r="AM113" s="295"/>
      <c r="AN113" s="295"/>
      <c r="AO113" s="295"/>
      <c r="AP113" s="861"/>
      <c r="AQ113" s="862"/>
      <c r="AR113" s="295"/>
      <c r="AS113" s="862"/>
      <c r="AT113" s="993">
        <v>0</v>
      </c>
      <c r="AU113" s="993"/>
      <c r="AV113" s="994"/>
      <c r="AW113" s="912"/>
      <c r="AX113" s="995"/>
      <c r="AY113" s="866"/>
      <c r="AZ113" s="1192">
        <v>0</v>
      </c>
      <c r="BA113" s="998">
        <v>0</v>
      </c>
      <c r="BB113" s="998">
        <v>0</v>
      </c>
      <c r="BC113" s="725"/>
      <c r="BD113" s="726"/>
      <c r="BE113" s="726"/>
      <c r="BF113" s="999"/>
    </row>
    <row r="114" spans="1:58" x14ac:dyDescent="0.15">
      <c r="A114" s="637">
        <v>83</v>
      </c>
      <c r="B114" s="1025"/>
      <c r="C114" s="1190" t="s">
        <v>131</v>
      </c>
      <c r="D114" s="904"/>
      <c r="E114" s="905"/>
      <c r="F114" s="906"/>
      <c r="G114" s="906"/>
      <c r="H114" s="906"/>
      <c r="I114" s="906"/>
      <c r="J114" s="906"/>
      <c r="K114" s="906"/>
      <c r="L114" s="906"/>
      <c r="M114" s="906"/>
      <c r="N114" s="907"/>
      <c r="O114" s="905"/>
      <c r="P114" s="906"/>
      <c r="Q114" s="906"/>
      <c r="R114" s="908"/>
      <c r="S114" s="909"/>
      <c r="T114" s="906"/>
      <c r="U114" s="906"/>
      <c r="V114" s="910"/>
      <c r="W114" s="911"/>
      <c r="X114" s="912">
        <v>201082</v>
      </c>
      <c r="Y114" s="912">
        <v>201082</v>
      </c>
      <c r="Z114" s="913">
        <v>201082</v>
      </c>
      <c r="AA114" s="913">
        <v>201082</v>
      </c>
      <c r="AB114" s="913">
        <v>201082</v>
      </c>
      <c r="AC114" s="913">
        <v>201082</v>
      </c>
      <c r="AD114" s="913">
        <v>201082</v>
      </c>
      <c r="AE114" s="295">
        <v>201082</v>
      </c>
      <c r="AF114" s="914">
        <f t="shared" si="84"/>
        <v>0</v>
      </c>
      <c r="AG114" s="295" t="s">
        <v>7</v>
      </c>
      <c r="AH114" s="295" t="s">
        <v>7</v>
      </c>
      <c r="AI114" s="275" t="s">
        <v>7</v>
      </c>
      <c r="AJ114" s="1314"/>
      <c r="AK114" s="295">
        <v>0</v>
      </c>
      <c r="AL114" s="295">
        <v>0</v>
      </c>
      <c r="AM114" s="295">
        <v>0</v>
      </c>
      <c r="AN114" s="295">
        <v>0</v>
      </c>
      <c r="AO114" s="295">
        <v>0</v>
      </c>
      <c r="AP114" s="861">
        <v>0</v>
      </c>
      <c r="AQ114" s="862">
        <v>21710</v>
      </c>
      <c r="AR114" s="295">
        <v>43080</v>
      </c>
      <c r="AS114" s="862">
        <f>43080+26740</f>
        <v>69820</v>
      </c>
      <c r="AT114" s="993">
        <f>43080+26740</f>
        <v>69820</v>
      </c>
      <c r="AU114" s="993">
        <f>43080+26740</f>
        <v>69820</v>
      </c>
      <c r="AV114" s="994">
        <f t="shared" si="78"/>
        <v>-131262</v>
      </c>
      <c r="AW114" s="912">
        <f t="shared" si="79"/>
        <v>0</v>
      </c>
      <c r="AX114" s="995">
        <v>70000</v>
      </c>
      <c r="AY114" s="866">
        <v>0</v>
      </c>
      <c r="AZ114" s="1192">
        <v>69820</v>
      </c>
      <c r="BA114" s="998">
        <f>77030-50180</f>
        <v>26850</v>
      </c>
      <c r="BB114" s="725">
        <v>80000</v>
      </c>
      <c r="BC114" s="725">
        <v>0</v>
      </c>
      <c r="BD114" s="726"/>
      <c r="BE114" s="726">
        <v>50000</v>
      </c>
      <c r="BF114" s="999" t="s">
        <v>293</v>
      </c>
    </row>
    <row r="115" spans="1:58" x14ac:dyDescent="0.15">
      <c r="A115" s="637">
        <f t="shared" ref="A115:A134" si="85">A114+1</f>
        <v>84</v>
      </c>
      <c r="B115" s="1025"/>
      <c r="C115" s="1190" t="s">
        <v>118</v>
      </c>
      <c r="D115" s="904"/>
      <c r="E115" s="905"/>
      <c r="F115" s="906"/>
      <c r="G115" s="906"/>
      <c r="H115" s="906"/>
      <c r="I115" s="906"/>
      <c r="J115" s="906"/>
      <c r="K115" s="906"/>
      <c r="L115" s="906"/>
      <c r="M115" s="906"/>
      <c r="N115" s="907"/>
      <c r="O115" s="905"/>
      <c r="P115" s="906"/>
      <c r="Q115" s="906"/>
      <c r="R115" s="908"/>
      <c r="S115" s="909"/>
      <c r="T115" s="906"/>
      <c r="U115" s="906"/>
      <c r="V115" s="910"/>
      <c r="W115" s="891"/>
      <c r="X115" s="892">
        <v>55560</v>
      </c>
      <c r="Y115" s="892">
        <f>55560+37884+24800</f>
        <v>118244</v>
      </c>
      <c r="Z115" s="893">
        <v>203865</v>
      </c>
      <c r="AA115" s="893">
        <v>262057</v>
      </c>
      <c r="AB115" s="893">
        <v>379759</v>
      </c>
      <c r="AC115" s="893">
        <v>325509</v>
      </c>
      <c r="AD115" s="893">
        <v>325509</v>
      </c>
      <c r="AE115" s="295">
        <v>379759</v>
      </c>
      <c r="AF115" s="914">
        <f t="shared" si="84"/>
        <v>85621</v>
      </c>
      <c r="AG115" s="295" t="s">
        <v>10</v>
      </c>
      <c r="AH115" s="295" t="s">
        <v>10</v>
      </c>
      <c r="AI115" s="275" t="s">
        <v>10</v>
      </c>
      <c r="AJ115" s="1314"/>
      <c r="AK115" s="295">
        <v>0</v>
      </c>
      <c r="AL115" s="295">
        <v>0</v>
      </c>
      <c r="AM115" s="295">
        <v>0</v>
      </c>
      <c r="AN115" s="295">
        <v>0</v>
      </c>
      <c r="AO115" s="295">
        <v>0</v>
      </c>
      <c r="AP115" s="861">
        <v>0</v>
      </c>
      <c r="AQ115" s="862">
        <v>0</v>
      </c>
      <c r="AR115" s="295">
        <v>0</v>
      </c>
      <c r="AS115" s="862">
        <v>0</v>
      </c>
      <c r="AT115" s="993">
        <v>47130</v>
      </c>
      <c r="AU115" s="993">
        <v>47130</v>
      </c>
      <c r="AV115" s="1195">
        <f t="shared" si="78"/>
        <v>-278379</v>
      </c>
      <c r="AW115" s="892">
        <f t="shared" si="79"/>
        <v>54250</v>
      </c>
      <c r="AX115" s="995">
        <v>0</v>
      </c>
      <c r="AY115" s="866">
        <v>0</v>
      </c>
      <c r="AZ115" s="1192">
        <v>47130</v>
      </c>
      <c r="BA115" s="998">
        <v>0</v>
      </c>
      <c r="BB115" s="725">
        <v>0</v>
      </c>
      <c r="BC115" s="725">
        <v>0</v>
      </c>
      <c r="BD115" s="726"/>
      <c r="BE115" s="726">
        <v>0</v>
      </c>
      <c r="BF115" s="999"/>
    </row>
    <row r="116" spans="1:58" ht="13.15" hidden="1" customHeight="1" x14ac:dyDescent="0.15">
      <c r="A116" s="637">
        <f t="shared" si="85"/>
        <v>85</v>
      </c>
      <c r="B116" s="1196"/>
      <c r="C116" s="1197" t="s">
        <v>216</v>
      </c>
      <c r="D116" s="951"/>
      <c r="E116" s="952"/>
      <c r="F116" s="953"/>
      <c r="G116" s="953"/>
      <c r="H116" s="953"/>
      <c r="I116" s="953"/>
      <c r="J116" s="953"/>
      <c r="K116" s="953"/>
      <c r="L116" s="953"/>
      <c r="M116" s="953"/>
      <c r="N116" s="954"/>
      <c r="O116" s="952"/>
      <c r="P116" s="953"/>
      <c r="Q116" s="953"/>
      <c r="R116" s="955"/>
      <c r="S116" s="956"/>
      <c r="T116" s="953"/>
      <c r="U116" s="953"/>
      <c r="V116" s="957"/>
      <c r="W116" s="958"/>
      <c r="X116" s="959">
        <v>0</v>
      </c>
      <c r="Y116" s="959">
        <v>66076</v>
      </c>
      <c r="Z116" s="960">
        <v>66076</v>
      </c>
      <c r="AA116" s="960">
        <v>66076</v>
      </c>
      <c r="AB116" s="960">
        <v>66076</v>
      </c>
      <c r="AC116" s="960">
        <v>66076</v>
      </c>
      <c r="AD116" s="960">
        <v>66076</v>
      </c>
      <c r="AE116" s="632">
        <v>66076</v>
      </c>
      <c r="AF116" s="961">
        <f t="shared" si="84"/>
        <v>0</v>
      </c>
      <c r="AG116" s="632"/>
      <c r="AH116" s="632"/>
      <c r="AI116" s="962"/>
      <c r="AJ116" s="1315"/>
      <c r="AK116" s="296">
        <v>0</v>
      </c>
      <c r="AL116" s="632">
        <v>0</v>
      </c>
      <c r="AM116" s="632">
        <v>0</v>
      </c>
      <c r="AN116" s="632">
        <v>0</v>
      </c>
      <c r="AO116" s="632">
        <v>0</v>
      </c>
      <c r="AP116" s="967">
        <v>0</v>
      </c>
      <c r="AQ116" s="1020">
        <v>0</v>
      </c>
      <c r="AR116" s="632">
        <v>0</v>
      </c>
      <c r="AS116" s="1020">
        <v>0</v>
      </c>
      <c r="AT116" s="1021">
        <v>0</v>
      </c>
      <c r="AU116" s="1021">
        <v>0</v>
      </c>
      <c r="AV116" s="1198">
        <f t="shared" si="78"/>
        <v>-66076</v>
      </c>
      <c r="AW116" s="959">
        <f t="shared" si="79"/>
        <v>0</v>
      </c>
      <c r="AX116" s="966">
        <v>0</v>
      </c>
      <c r="AY116" s="963">
        <v>0</v>
      </c>
      <c r="AZ116" s="635">
        <v>0</v>
      </c>
      <c r="BA116" s="938">
        <v>0</v>
      </c>
      <c r="BB116" s="747">
        <v>0</v>
      </c>
      <c r="BC116" s="747"/>
      <c r="BD116" s="748"/>
      <c r="BE116" s="748"/>
      <c r="BF116" s="1109" t="s">
        <v>218</v>
      </c>
    </row>
    <row r="117" spans="1:58" ht="15" customHeight="1" x14ac:dyDescent="0.15">
      <c r="A117" s="637">
        <v>85</v>
      </c>
      <c r="B117" s="1110" t="s">
        <v>182</v>
      </c>
      <c r="C117" s="365"/>
      <c r="D117" s="366"/>
      <c r="E117" s="367">
        <f>SUM(E118:E122)</f>
        <v>0</v>
      </c>
      <c r="F117" s="368">
        <f t="shared" ref="F117:BA117" si="86">SUM(F118:F122)</f>
        <v>0</v>
      </c>
      <c r="G117" s="368">
        <f t="shared" si="86"/>
        <v>0</v>
      </c>
      <c r="H117" s="368">
        <f t="shared" si="86"/>
        <v>0</v>
      </c>
      <c r="I117" s="368">
        <f t="shared" si="86"/>
        <v>0</v>
      </c>
      <c r="J117" s="368">
        <f t="shared" si="86"/>
        <v>0</v>
      </c>
      <c r="K117" s="368">
        <f t="shared" si="86"/>
        <v>0</v>
      </c>
      <c r="L117" s="368">
        <f t="shared" si="86"/>
        <v>0</v>
      </c>
      <c r="M117" s="368">
        <f t="shared" si="86"/>
        <v>0</v>
      </c>
      <c r="N117" s="369">
        <f t="shared" si="86"/>
        <v>0</v>
      </c>
      <c r="O117" s="367">
        <f t="shared" si="86"/>
        <v>0</v>
      </c>
      <c r="P117" s="368">
        <f t="shared" si="86"/>
        <v>0</v>
      </c>
      <c r="Q117" s="368">
        <f t="shared" si="86"/>
        <v>0</v>
      </c>
      <c r="R117" s="370">
        <f t="shared" si="86"/>
        <v>0</v>
      </c>
      <c r="S117" s="371">
        <f t="shared" si="86"/>
        <v>0</v>
      </c>
      <c r="T117" s="368">
        <f t="shared" si="86"/>
        <v>0</v>
      </c>
      <c r="U117" s="368">
        <f t="shared" si="86"/>
        <v>0</v>
      </c>
      <c r="V117" s="372">
        <f t="shared" si="86"/>
        <v>0</v>
      </c>
      <c r="W117" s="373">
        <f t="shared" si="86"/>
        <v>0</v>
      </c>
      <c r="X117" s="378">
        <f t="shared" si="86"/>
        <v>7009</v>
      </c>
      <c r="Y117" s="378">
        <f t="shared" si="86"/>
        <v>7009</v>
      </c>
      <c r="Z117" s="380">
        <f t="shared" si="86"/>
        <v>7009</v>
      </c>
      <c r="AA117" s="380">
        <f t="shared" si="86"/>
        <v>13845</v>
      </c>
      <c r="AB117" s="380">
        <f t="shared" si="86"/>
        <v>13845</v>
      </c>
      <c r="AC117" s="380">
        <f t="shared" si="86"/>
        <v>13845</v>
      </c>
      <c r="AD117" s="380">
        <f t="shared" si="86"/>
        <v>13845</v>
      </c>
      <c r="AE117" s="374">
        <f t="shared" si="86"/>
        <v>87071</v>
      </c>
      <c r="AF117" s="375">
        <f t="shared" si="86"/>
        <v>0</v>
      </c>
      <c r="AG117" s="374">
        <f t="shared" si="86"/>
        <v>0</v>
      </c>
      <c r="AH117" s="374">
        <f t="shared" si="86"/>
        <v>0</v>
      </c>
      <c r="AI117" s="376">
        <f t="shared" si="86"/>
        <v>0</v>
      </c>
      <c r="AJ117" s="377">
        <f t="shared" si="86"/>
        <v>0</v>
      </c>
      <c r="AK117" s="374">
        <f t="shared" si="86"/>
        <v>191000</v>
      </c>
      <c r="AL117" s="374">
        <f t="shared" si="86"/>
        <v>245418</v>
      </c>
      <c r="AM117" s="374">
        <f t="shared" si="86"/>
        <v>245418</v>
      </c>
      <c r="AN117" s="374">
        <f t="shared" si="86"/>
        <v>245418</v>
      </c>
      <c r="AO117" s="374">
        <f>SUM(AO118:AO122)</f>
        <v>191282</v>
      </c>
      <c r="AP117" s="422">
        <f t="shared" si="86"/>
        <v>191282</v>
      </c>
      <c r="AQ117" s="423">
        <f t="shared" si="86"/>
        <v>190832</v>
      </c>
      <c r="AR117" s="374">
        <f t="shared" si="86"/>
        <v>191282</v>
      </c>
      <c r="AS117" s="423">
        <f t="shared" si="86"/>
        <v>191282</v>
      </c>
      <c r="AT117" s="374">
        <f t="shared" si="86"/>
        <v>261648</v>
      </c>
      <c r="AU117" s="374">
        <f t="shared" si="86"/>
        <v>261648</v>
      </c>
      <c r="AV117" s="591">
        <f t="shared" si="86"/>
        <v>177437</v>
      </c>
      <c r="AW117" s="378">
        <f t="shared" si="86"/>
        <v>0</v>
      </c>
      <c r="AX117" s="382">
        <f t="shared" si="86"/>
        <v>0</v>
      </c>
      <c r="AY117" s="377">
        <f t="shared" si="86"/>
        <v>191000</v>
      </c>
      <c r="AZ117" s="422">
        <v>261648</v>
      </c>
      <c r="BA117" s="666">
        <f t="shared" si="86"/>
        <v>236751</v>
      </c>
      <c r="BB117" s="611">
        <f>SUM(BB118:BB122)</f>
        <v>315000</v>
      </c>
      <c r="BC117" s="611">
        <f t="shared" ref="BC117:BE117" si="87">SUM(BC118:BC122)</f>
        <v>300570</v>
      </c>
      <c r="BD117" s="611"/>
      <c r="BE117" s="611">
        <f t="shared" si="87"/>
        <v>340000</v>
      </c>
      <c r="BF117" s="421"/>
    </row>
    <row r="118" spans="1:58" x14ac:dyDescent="0.15">
      <c r="A118" s="637">
        <f t="shared" si="85"/>
        <v>86</v>
      </c>
      <c r="B118" s="882"/>
      <c r="C118" s="883" t="s">
        <v>232</v>
      </c>
      <c r="D118" s="884"/>
      <c r="E118" s="885"/>
      <c r="F118" s="886"/>
      <c r="G118" s="886"/>
      <c r="H118" s="886"/>
      <c r="I118" s="886"/>
      <c r="J118" s="886"/>
      <c r="K118" s="886"/>
      <c r="L118" s="886"/>
      <c r="M118" s="886"/>
      <c r="N118" s="887"/>
      <c r="O118" s="885"/>
      <c r="P118" s="886"/>
      <c r="Q118" s="886"/>
      <c r="R118" s="888"/>
      <c r="S118" s="889"/>
      <c r="T118" s="886"/>
      <c r="U118" s="886"/>
      <c r="V118" s="890"/>
      <c r="W118" s="891"/>
      <c r="X118" s="892"/>
      <c r="Y118" s="892"/>
      <c r="Z118" s="893"/>
      <c r="AA118" s="893"/>
      <c r="AB118" s="893"/>
      <c r="AC118" s="893"/>
      <c r="AD118" s="893"/>
      <c r="AE118" s="894">
        <f>56006+17220</f>
        <v>73226</v>
      </c>
      <c r="AF118" s="895"/>
      <c r="AG118" s="894"/>
      <c r="AH118" s="894"/>
      <c r="AI118" s="896"/>
      <c r="AJ118" s="1316"/>
      <c r="AK118" s="295"/>
      <c r="AL118" s="894">
        <v>53856</v>
      </c>
      <c r="AM118" s="894">
        <v>53856</v>
      </c>
      <c r="AN118" s="894">
        <v>53856</v>
      </c>
      <c r="AO118" s="894"/>
      <c r="AP118" s="898"/>
      <c r="AQ118" s="899"/>
      <c r="AR118" s="894"/>
      <c r="AS118" s="899"/>
      <c r="AT118" s="993">
        <v>70086</v>
      </c>
      <c r="AU118" s="993">
        <v>70086</v>
      </c>
      <c r="AV118" s="1195"/>
      <c r="AW118" s="892">
        <v>0</v>
      </c>
      <c r="AX118" s="901"/>
      <c r="AY118" s="897"/>
      <c r="AZ118" s="1192">
        <v>70086</v>
      </c>
      <c r="BA118" s="998">
        <v>66338</v>
      </c>
      <c r="BB118" s="725">
        <v>170000</v>
      </c>
      <c r="BC118" s="725">
        <v>181510</v>
      </c>
      <c r="BD118" s="726"/>
      <c r="BE118" s="726">
        <v>200000</v>
      </c>
      <c r="BF118" s="1193"/>
    </row>
    <row r="119" spans="1:58" x14ac:dyDescent="0.15">
      <c r="A119" s="637">
        <f t="shared" si="85"/>
        <v>87</v>
      </c>
      <c r="B119" s="882"/>
      <c r="C119" s="883" t="s">
        <v>225</v>
      </c>
      <c r="D119" s="884"/>
      <c r="E119" s="885"/>
      <c r="F119" s="886"/>
      <c r="G119" s="886"/>
      <c r="H119" s="886"/>
      <c r="I119" s="886"/>
      <c r="J119" s="886"/>
      <c r="K119" s="886"/>
      <c r="L119" s="886"/>
      <c r="M119" s="886"/>
      <c r="N119" s="887"/>
      <c r="O119" s="885"/>
      <c r="P119" s="886"/>
      <c r="Q119" s="886"/>
      <c r="R119" s="888"/>
      <c r="S119" s="889"/>
      <c r="T119" s="886"/>
      <c r="U119" s="886"/>
      <c r="V119" s="890"/>
      <c r="W119" s="891"/>
      <c r="X119" s="892"/>
      <c r="Y119" s="892"/>
      <c r="Z119" s="893"/>
      <c r="AA119" s="893"/>
      <c r="AB119" s="893"/>
      <c r="AC119" s="893"/>
      <c r="AD119" s="893"/>
      <c r="AE119" s="894"/>
      <c r="AF119" s="895"/>
      <c r="AG119" s="894"/>
      <c r="AH119" s="894"/>
      <c r="AI119" s="896"/>
      <c r="AJ119" s="1317"/>
      <c r="AK119" s="295"/>
      <c r="AL119" s="894"/>
      <c r="AM119" s="894"/>
      <c r="AN119" s="894"/>
      <c r="AO119" s="894"/>
      <c r="AP119" s="898"/>
      <c r="AQ119" s="899"/>
      <c r="AR119" s="894"/>
      <c r="AS119" s="899"/>
      <c r="AT119" s="993"/>
      <c r="AU119" s="993"/>
      <c r="AV119" s="1195"/>
      <c r="AW119" s="892"/>
      <c r="AX119" s="901"/>
      <c r="AY119" s="897"/>
      <c r="AZ119" s="1192">
        <v>0</v>
      </c>
      <c r="BA119" s="998">
        <v>45131</v>
      </c>
      <c r="BB119" s="725">
        <v>0</v>
      </c>
      <c r="BC119" s="725">
        <v>0</v>
      </c>
      <c r="BD119" s="726"/>
      <c r="BE119" s="726">
        <v>0</v>
      </c>
      <c r="BF119" s="1193"/>
    </row>
    <row r="120" spans="1:58" x14ac:dyDescent="0.15">
      <c r="A120" s="637">
        <f t="shared" si="85"/>
        <v>88</v>
      </c>
      <c r="B120" s="882"/>
      <c r="C120" s="883" t="s">
        <v>226</v>
      </c>
      <c r="D120" s="884"/>
      <c r="E120" s="885"/>
      <c r="F120" s="886"/>
      <c r="G120" s="886"/>
      <c r="H120" s="886"/>
      <c r="I120" s="886"/>
      <c r="J120" s="886"/>
      <c r="K120" s="886"/>
      <c r="L120" s="886"/>
      <c r="M120" s="886"/>
      <c r="N120" s="887"/>
      <c r="O120" s="885"/>
      <c r="P120" s="886"/>
      <c r="Q120" s="886"/>
      <c r="R120" s="888"/>
      <c r="S120" s="889"/>
      <c r="T120" s="886"/>
      <c r="U120" s="886"/>
      <c r="V120" s="890"/>
      <c r="W120" s="891"/>
      <c r="X120" s="892"/>
      <c r="Y120" s="892"/>
      <c r="Z120" s="893"/>
      <c r="AA120" s="893"/>
      <c r="AB120" s="893"/>
      <c r="AC120" s="893"/>
      <c r="AD120" s="893"/>
      <c r="AE120" s="894">
        <v>0</v>
      </c>
      <c r="AF120" s="895"/>
      <c r="AG120" s="894"/>
      <c r="AH120" s="894"/>
      <c r="AI120" s="896"/>
      <c r="AJ120" s="1317"/>
      <c r="AK120" s="295"/>
      <c r="AL120" s="894">
        <v>280</v>
      </c>
      <c r="AM120" s="894">
        <v>280</v>
      </c>
      <c r="AN120" s="894">
        <v>280</v>
      </c>
      <c r="AO120" s="894"/>
      <c r="AP120" s="898"/>
      <c r="AQ120" s="899"/>
      <c r="AR120" s="894"/>
      <c r="AS120" s="899"/>
      <c r="AT120" s="993">
        <v>280</v>
      </c>
      <c r="AU120" s="993">
        <v>280</v>
      </c>
      <c r="AV120" s="1195"/>
      <c r="AW120" s="892">
        <v>0</v>
      </c>
      <c r="AX120" s="901"/>
      <c r="AY120" s="897"/>
      <c r="AZ120" s="1192">
        <v>280</v>
      </c>
      <c r="BA120" s="998">
        <v>0</v>
      </c>
      <c r="BB120" s="725">
        <v>10000</v>
      </c>
      <c r="BC120" s="725">
        <v>0</v>
      </c>
      <c r="BD120" s="726"/>
      <c r="BE120" s="726">
        <v>10000</v>
      </c>
      <c r="BF120" s="1193"/>
    </row>
    <row r="121" spans="1:58" x14ac:dyDescent="0.15">
      <c r="A121" s="637">
        <f t="shared" si="85"/>
        <v>89</v>
      </c>
      <c r="B121" s="882"/>
      <c r="C121" s="883" t="s">
        <v>103</v>
      </c>
      <c r="D121" s="884"/>
      <c r="E121" s="885"/>
      <c r="F121" s="886"/>
      <c r="G121" s="886"/>
      <c r="H121" s="886"/>
      <c r="I121" s="886"/>
      <c r="J121" s="886"/>
      <c r="K121" s="886"/>
      <c r="L121" s="886"/>
      <c r="M121" s="886"/>
      <c r="N121" s="887"/>
      <c r="O121" s="885"/>
      <c r="P121" s="886"/>
      <c r="Q121" s="886"/>
      <c r="R121" s="888"/>
      <c r="S121" s="889"/>
      <c r="T121" s="886"/>
      <c r="U121" s="886"/>
      <c r="V121" s="890"/>
      <c r="W121" s="891"/>
      <c r="X121" s="892"/>
      <c r="Y121" s="892"/>
      <c r="Z121" s="893"/>
      <c r="AA121" s="893"/>
      <c r="AB121" s="893"/>
      <c r="AC121" s="893"/>
      <c r="AD121" s="893"/>
      <c r="AE121" s="894">
        <v>0</v>
      </c>
      <c r="AF121" s="895">
        <v>0</v>
      </c>
      <c r="AG121" s="894"/>
      <c r="AH121" s="894"/>
      <c r="AI121" s="896"/>
      <c r="AJ121" s="1317"/>
      <c r="AK121" s="295">
        <v>191000</v>
      </c>
      <c r="AL121" s="894">
        <v>191282</v>
      </c>
      <c r="AM121" s="894">
        <v>191282</v>
      </c>
      <c r="AN121" s="894">
        <v>191282</v>
      </c>
      <c r="AO121" s="894">
        <v>191282</v>
      </c>
      <c r="AP121" s="898">
        <v>191282</v>
      </c>
      <c r="AQ121" s="899">
        <v>190832</v>
      </c>
      <c r="AR121" s="894">
        <v>191282</v>
      </c>
      <c r="AS121" s="899">
        <v>191282</v>
      </c>
      <c r="AT121" s="993">
        <v>191282</v>
      </c>
      <c r="AU121" s="993">
        <v>191282</v>
      </c>
      <c r="AV121" s="1195">
        <v>191282</v>
      </c>
      <c r="AW121" s="892">
        <v>0</v>
      </c>
      <c r="AX121" s="901">
        <v>0</v>
      </c>
      <c r="AY121" s="897">
        <v>191000</v>
      </c>
      <c r="AZ121" s="1192">
        <v>191282</v>
      </c>
      <c r="BA121" s="998">
        <v>125282</v>
      </c>
      <c r="BB121" s="725">
        <v>135000</v>
      </c>
      <c r="BC121" s="725">
        <v>119060</v>
      </c>
      <c r="BD121" s="726" t="s">
        <v>301</v>
      </c>
      <c r="BE121" s="726">
        <v>130000</v>
      </c>
      <c r="BF121" s="1193" t="s">
        <v>300</v>
      </c>
    </row>
    <row r="122" spans="1:58" ht="13.15" hidden="1" customHeight="1" x14ac:dyDescent="0.15">
      <c r="A122" s="637">
        <f t="shared" si="85"/>
        <v>90</v>
      </c>
      <c r="B122" s="1084"/>
      <c r="C122" s="1199" t="s">
        <v>30</v>
      </c>
      <c r="D122" s="951"/>
      <c r="E122" s="952"/>
      <c r="F122" s="953"/>
      <c r="G122" s="953"/>
      <c r="H122" s="953"/>
      <c r="I122" s="953"/>
      <c r="J122" s="953"/>
      <c r="K122" s="953"/>
      <c r="L122" s="953"/>
      <c r="M122" s="953"/>
      <c r="N122" s="954"/>
      <c r="O122" s="952"/>
      <c r="P122" s="953"/>
      <c r="Q122" s="953"/>
      <c r="R122" s="955"/>
      <c r="S122" s="956"/>
      <c r="T122" s="953"/>
      <c r="U122" s="953"/>
      <c r="V122" s="957"/>
      <c r="W122" s="958"/>
      <c r="X122" s="959">
        <v>7009</v>
      </c>
      <c r="Y122" s="959">
        <v>7009</v>
      </c>
      <c r="Z122" s="960">
        <v>7009</v>
      </c>
      <c r="AA122" s="960">
        <v>13845</v>
      </c>
      <c r="AB122" s="960">
        <v>13845</v>
      </c>
      <c r="AC122" s="960">
        <v>13845</v>
      </c>
      <c r="AD122" s="960">
        <v>13845</v>
      </c>
      <c r="AE122" s="632">
        <v>13845</v>
      </c>
      <c r="AF122" s="961">
        <v>0</v>
      </c>
      <c r="AG122" s="632" t="s">
        <v>31</v>
      </c>
      <c r="AH122" s="632" t="s">
        <v>31</v>
      </c>
      <c r="AI122" s="962" t="s">
        <v>31</v>
      </c>
      <c r="AJ122" s="1318"/>
      <c r="AK122" s="296">
        <v>0</v>
      </c>
      <c r="AL122" s="632">
        <v>0</v>
      </c>
      <c r="AM122" s="632">
        <v>0</v>
      </c>
      <c r="AN122" s="632">
        <v>0</v>
      </c>
      <c r="AO122" s="632">
        <v>0</v>
      </c>
      <c r="AP122" s="967">
        <v>0</v>
      </c>
      <c r="AQ122" s="1020">
        <v>0</v>
      </c>
      <c r="AR122" s="632">
        <v>0</v>
      </c>
      <c r="AS122" s="1020">
        <v>0</v>
      </c>
      <c r="AT122" s="1021">
        <v>0</v>
      </c>
      <c r="AU122" s="1021">
        <v>0</v>
      </c>
      <c r="AV122" s="1198">
        <v>-13845</v>
      </c>
      <c r="AW122" s="959">
        <v>0</v>
      </c>
      <c r="AX122" s="966">
        <v>0</v>
      </c>
      <c r="AY122" s="963">
        <v>0</v>
      </c>
      <c r="AZ122" s="635">
        <v>0</v>
      </c>
      <c r="BA122" s="938">
        <v>0</v>
      </c>
      <c r="BB122" s="636">
        <v>0</v>
      </c>
      <c r="BC122" s="636"/>
      <c r="BD122" s="686"/>
      <c r="BE122" s="686"/>
      <c r="BF122" s="1109"/>
    </row>
    <row r="123" spans="1:58" ht="15" customHeight="1" x14ac:dyDescent="0.15">
      <c r="A123" s="637">
        <v>90</v>
      </c>
      <c r="B123" s="1110" t="s">
        <v>187</v>
      </c>
      <c r="C123" s="365"/>
      <c r="D123" s="366"/>
      <c r="E123" s="367">
        <f>E124</f>
        <v>0</v>
      </c>
      <c r="F123" s="368">
        <f t="shared" ref="F123:BE123" si="88">F124</f>
        <v>0</v>
      </c>
      <c r="G123" s="368">
        <f t="shared" si="88"/>
        <v>0</v>
      </c>
      <c r="H123" s="368">
        <f t="shared" si="88"/>
        <v>0</v>
      </c>
      <c r="I123" s="368">
        <f t="shared" si="88"/>
        <v>0</v>
      </c>
      <c r="J123" s="368">
        <f t="shared" si="88"/>
        <v>0</v>
      </c>
      <c r="K123" s="368">
        <f t="shared" si="88"/>
        <v>0</v>
      </c>
      <c r="L123" s="368">
        <f t="shared" si="88"/>
        <v>0</v>
      </c>
      <c r="M123" s="368">
        <f t="shared" si="88"/>
        <v>0</v>
      </c>
      <c r="N123" s="369">
        <f t="shared" si="88"/>
        <v>0</v>
      </c>
      <c r="O123" s="367">
        <f t="shared" si="88"/>
        <v>0</v>
      </c>
      <c r="P123" s="368">
        <f t="shared" si="88"/>
        <v>0</v>
      </c>
      <c r="Q123" s="368">
        <f t="shared" si="88"/>
        <v>0</v>
      </c>
      <c r="R123" s="370">
        <f t="shared" si="88"/>
        <v>0</v>
      </c>
      <c r="S123" s="371">
        <f t="shared" si="88"/>
        <v>0</v>
      </c>
      <c r="T123" s="368">
        <f t="shared" si="88"/>
        <v>0</v>
      </c>
      <c r="U123" s="368">
        <f t="shared" si="88"/>
        <v>0</v>
      </c>
      <c r="V123" s="372">
        <f t="shared" si="88"/>
        <v>0</v>
      </c>
      <c r="W123" s="373">
        <f t="shared" si="88"/>
        <v>0</v>
      </c>
      <c r="X123" s="378">
        <f t="shared" si="88"/>
        <v>0</v>
      </c>
      <c r="Y123" s="378">
        <f t="shared" si="88"/>
        <v>0</v>
      </c>
      <c r="Z123" s="380">
        <f t="shared" si="88"/>
        <v>0</v>
      </c>
      <c r="AA123" s="380">
        <f t="shared" si="88"/>
        <v>0</v>
      </c>
      <c r="AB123" s="380">
        <f t="shared" si="88"/>
        <v>0</v>
      </c>
      <c r="AC123" s="380">
        <f t="shared" si="88"/>
        <v>0</v>
      </c>
      <c r="AD123" s="380">
        <f t="shared" si="88"/>
        <v>0</v>
      </c>
      <c r="AE123" s="374">
        <f t="shared" si="88"/>
        <v>0</v>
      </c>
      <c r="AF123" s="375">
        <f t="shared" si="88"/>
        <v>0</v>
      </c>
      <c r="AG123" s="374">
        <f t="shared" si="88"/>
        <v>0</v>
      </c>
      <c r="AH123" s="374">
        <f t="shared" si="88"/>
        <v>0</v>
      </c>
      <c r="AI123" s="376">
        <f t="shared" si="88"/>
        <v>0</v>
      </c>
      <c r="AJ123" s="377">
        <f t="shared" si="88"/>
        <v>0</v>
      </c>
      <c r="AK123" s="374">
        <f t="shared" si="88"/>
        <v>39000</v>
      </c>
      <c r="AL123" s="374">
        <f t="shared" si="88"/>
        <v>38884</v>
      </c>
      <c r="AM123" s="374">
        <f t="shared" si="88"/>
        <v>38884</v>
      </c>
      <c r="AN123" s="374">
        <f t="shared" si="88"/>
        <v>38884</v>
      </c>
      <c r="AO123" s="374">
        <f t="shared" si="88"/>
        <v>38884</v>
      </c>
      <c r="AP123" s="422">
        <f t="shared" si="88"/>
        <v>38884</v>
      </c>
      <c r="AQ123" s="423">
        <f t="shared" si="88"/>
        <v>38884</v>
      </c>
      <c r="AR123" s="374">
        <f t="shared" si="88"/>
        <v>38884</v>
      </c>
      <c r="AS123" s="423">
        <f t="shared" si="88"/>
        <v>38884</v>
      </c>
      <c r="AT123" s="374">
        <f t="shared" si="88"/>
        <v>38884</v>
      </c>
      <c r="AU123" s="374">
        <f t="shared" si="88"/>
        <v>38884</v>
      </c>
      <c r="AV123" s="591">
        <f t="shared" si="88"/>
        <v>38884</v>
      </c>
      <c r="AW123" s="378">
        <f t="shared" si="88"/>
        <v>0</v>
      </c>
      <c r="AX123" s="382">
        <f t="shared" si="88"/>
        <v>0</v>
      </c>
      <c r="AY123" s="377">
        <f t="shared" si="88"/>
        <v>39000</v>
      </c>
      <c r="AZ123" s="422">
        <f t="shared" si="88"/>
        <v>38884</v>
      </c>
      <c r="BA123" s="666">
        <f t="shared" si="88"/>
        <v>26608</v>
      </c>
      <c r="BB123" s="611">
        <f t="shared" si="88"/>
        <v>10000</v>
      </c>
      <c r="BC123" s="611">
        <f t="shared" si="88"/>
        <v>5257</v>
      </c>
      <c r="BD123" s="611"/>
      <c r="BE123" s="611">
        <f t="shared" si="88"/>
        <v>10000</v>
      </c>
      <c r="BF123" s="421"/>
    </row>
    <row r="124" spans="1:58" x14ac:dyDescent="0.15">
      <c r="A124" s="637">
        <f t="shared" si="85"/>
        <v>91</v>
      </c>
      <c r="B124" s="1196"/>
      <c r="C124" s="950" t="s">
        <v>224</v>
      </c>
      <c r="D124" s="1200"/>
      <c r="E124" s="952"/>
      <c r="F124" s="953"/>
      <c r="G124" s="953"/>
      <c r="H124" s="953"/>
      <c r="I124" s="953"/>
      <c r="J124" s="953"/>
      <c r="K124" s="953"/>
      <c r="L124" s="953"/>
      <c r="M124" s="953"/>
      <c r="N124" s="954"/>
      <c r="O124" s="952"/>
      <c r="P124" s="953"/>
      <c r="Q124" s="953"/>
      <c r="R124" s="955"/>
      <c r="S124" s="956"/>
      <c r="T124" s="953"/>
      <c r="U124" s="953"/>
      <c r="V124" s="957"/>
      <c r="W124" s="958"/>
      <c r="X124" s="959"/>
      <c r="Y124" s="959"/>
      <c r="Z124" s="960"/>
      <c r="AA124" s="960"/>
      <c r="AB124" s="960">
        <v>0</v>
      </c>
      <c r="AC124" s="960">
        <v>0</v>
      </c>
      <c r="AD124" s="960">
        <v>0</v>
      </c>
      <c r="AE124" s="632">
        <v>0</v>
      </c>
      <c r="AF124" s="961">
        <f>Z124-Y124</f>
        <v>0</v>
      </c>
      <c r="AG124" s="632"/>
      <c r="AH124" s="632"/>
      <c r="AI124" s="962"/>
      <c r="AJ124" s="1201"/>
      <c r="AK124" s="632">
        <v>39000</v>
      </c>
      <c r="AL124" s="632">
        <v>38884</v>
      </c>
      <c r="AM124" s="632">
        <v>38884</v>
      </c>
      <c r="AN124" s="632">
        <v>38884</v>
      </c>
      <c r="AO124" s="632">
        <f>38884</f>
        <v>38884</v>
      </c>
      <c r="AP124" s="967">
        <v>38884</v>
      </c>
      <c r="AQ124" s="1020">
        <v>38884</v>
      </c>
      <c r="AR124" s="632">
        <v>38884</v>
      </c>
      <c r="AS124" s="1020">
        <v>38884</v>
      </c>
      <c r="AT124" s="1021">
        <v>38884</v>
      </c>
      <c r="AU124" s="1021">
        <v>38884</v>
      </c>
      <c r="AV124" s="1022">
        <f>AT124-AC124</f>
        <v>38884</v>
      </c>
      <c r="AW124" s="959">
        <f>AE124-AD124</f>
        <v>0</v>
      </c>
      <c r="AX124" s="966">
        <v>0</v>
      </c>
      <c r="AY124" s="963">
        <v>39000</v>
      </c>
      <c r="AZ124" s="635">
        <v>38884</v>
      </c>
      <c r="BA124" s="968">
        <f>27868-1260</f>
        <v>26608</v>
      </c>
      <c r="BB124" s="720">
        <v>10000</v>
      </c>
      <c r="BC124" s="720">
        <v>5257</v>
      </c>
      <c r="BD124" s="721"/>
      <c r="BE124" s="721">
        <v>10000</v>
      </c>
      <c r="BF124" s="1136"/>
    </row>
    <row r="125" spans="1:58" x14ac:dyDescent="0.15">
      <c r="A125" s="637">
        <f t="shared" si="85"/>
        <v>92</v>
      </c>
      <c r="B125" s="1110" t="s">
        <v>185</v>
      </c>
      <c r="C125" s="365"/>
      <c r="D125" s="366"/>
      <c r="E125" s="367">
        <f>SUM(E126:E128)</f>
        <v>0</v>
      </c>
      <c r="F125" s="368">
        <f t="shared" ref="F125:BE125" si="89">SUM(F126:F128)</f>
        <v>0</v>
      </c>
      <c r="G125" s="368">
        <f t="shared" si="89"/>
        <v>0</v>
      </c>
      <c r="H125" s="368">
        <f t="shared" si="89"/>
        <v>0</v>
      </c>
      <c r="I125" s="368">
        <f t="shared" si="89"/>
        <v>0</v>
      </c>
      <c r="J125" s="368">
        <f t="shared" si="89"/>
        <v>0</v>
      </c>
      <c r="K125" s="368">
        <f t="shared" si="89"/>
        <v>0</v>
      </c>
      <c r="L125" s="368">
        <f t="shared" si="89"/>
        <v>0</v>
      </c>
      <c r="M125" s="368">
        <f t="shared" si="89"/>
        <v>0</v>
      </c>
      <c r="N125" s="369">
        <f t="shared" si="89"/>
        <v>0</v>
      </c>
      <c r="O125" s="367">
        <f t="shared" si="89"/>
        <v>0</v>
      </c>
      <c r="P125" s="368">
        <f t="shared" si="89"/>
        <v>0</v>
      </c>
      <c r="Q125" s="368">
        <f t="shared" si="89"/>
        <v>0</v>
      </c>
      <c r="R125" s="370">
        <f t="shared" si="89"/>
        <v>0</v>
      </c>
      <c r="S125" s="371">
        <f t="shared" si="89"/>
        <v>0</v>
      </c>
      <c r="T125" s="368">
        <f t="shared" si="89"/>
        <v>0</v>
      </c>
      <c r="U125" s="368">
        <f t="shared" si="89"/>
        <v>0</v>
      </c>
      <c r="V125" s="372">
        <f t="shared" si="89"/>
        <v>0</v>
      </c>
      <c r="W125" s="373">
        <f t="shared" si="89"/>
        <v>0</v>
      </c>
      <c r="X125" s="378">
        <f t="shared" si="89"/>
        <v>9720</v>
      </c>
      <c r="Y125" s="378">
        <f t="shared" si="89"/>
        <v>9720</v>
      </c>
      <c r="Z125" s="380">
        <f t="shared" si="89"/>
        <v>6480</v>
      </c>
      <c r="AA125" s="380">
        <f t="shared" si="89"/>
        <v>6480</v>
      </c>
      <c r="AB125" s="380">
        <f t="shared" si="89"/>
        <v>6480</v>
      </c>
      <c r="AC125" s="380">
        <f t="shared" si="89"/>
        <v>6480</v>
      </c>
      <c r="AD125" s="380">
        <f t="shared" si="89"/>
        <v>6480</v>
      </c>
      <c r="AE125" s="374">
        <f t="shared" si="89"/>
        <v>24272</v>
      </c>
      <c r="AF125" s="375">
        <f t="shared" si="89"/>
        <v>-3240</v>
      </c>
      <c r="AG125" s="374">
        <f t="shared" si="89"/>
        <v>0</v>
      </c>
      <c r="AH125" s="374">
        <f t="shared" si="89"/>
        <v>0</v>
      </c>
      <c r="AI125" s="376">
        <f t="shared" si="89"/>
        <v>0</v>
      </c>
      <c r="AJ125" s="377">
        <f t="shared" si="89"/>
        <v>0</v>
      </c>
      <c r="AK125" s="374">
        <f t="shared" si="89"/>
        <v>20000</v>
      </c>
      <c r="AL125" s="374">
        <f t="shared" si="89"/>
        <v>6480</v>
      </c>
      <c r="AM125" s="374">
        <f t="shared" si="89"/>
        <v>13882</v>
      </c>
      <c r="AN125" s="374">
        <f t="shared" si="89"/>
        <v>13882</v>
      </c>
      <c r="AO125" s="374">
        <f>SUM(AO126:AO128)</f>
        <v>0</v>
      </c>
      <c r="AP125" s="422">
        <f t="shared" si="89"/>
        <v>0</v>
      </c>
      <c r="AQ125" s="423">
        <f t="shared" si="89"/>
        <v>140</v>
      </c>
      <c r="AR125" s="374">
        <f t="shared" si="89"/>
        <v>140</v>
      </c>
      <c r="AS125" s="423">
        <f t="shared" si="89"/>
        <v>140</v>
      </c>
      <c r="AT125" s="374">
        <f t="shared" si="89"/>
        <v>6275</v>
      </c>
      <c r="AU125" s="374">
        <f t="shared" si="89"/>
        <v>6275</v>
      </c>
      <c r="AV125" s="591">
        <f t="shared" si="89"/>
        <v>-6340</v>
      </c>
      <c r="AW125" s="378">
        <f t="shared" si="89"/>
        <v>3240</v>
      </c>
      <c r="AX125" s="382">
        <f t="shared" si="89"/>
        <v>0</v>
      </c>
      <c r="AY125" s="377">
        <f t="shared" si="89"/>
        <v>3000</v>
      </c>
      <c r="AZ125" s="422">
        <f t="shared" si="89"/>
        <v>6275</v>
      </c>
      <c r="BA125" s="666">
        <f t="shared" si="89"/>
        <v>10000</v>
      </c>
      <c r="BB125" s="611">
        <f t="shared" si="89"/>
        <v>20000</v>
      </c>
      <c r="BC125" s="611">
        <f t="shared" si="89"/>
        <v>0</v>
      </c>
      <c r="BD125" s="611"/>
      <c r="BE125" s="611">
        <f t="shared" si="89"/>
        <v>20000</v>
      </c>
      <c r="BF125" s="421"/>
    </row>
    <row r="126" spans="1:58" x14ac:dyDescent="0.15">
      <c r="A126" s="637">
        <f t="shared" si="85"/>
        <v>93</v>
      </c>
      <c r="B126" s="1025"/>
      <c r="C126" s="1202" t="s">
        <v>155</v>
      </c>
      <c r="D126" s="884"/>
      <c r="E126" s="885"/>
      <c r="F126" s="886"/>
      <c r="G126" s="886"/>
      <c r="H126" s="886"/>
      <c r="I126" s="886"/>
      <c r="J126" s="886"/>
      <c r="K126" s="886"/>
      <c r="L126" s="886"/>
      <c r="M126" s="886"/>
      <c r="N126" s="887"/>
      <c r="O126" s="885"/>
      <c r="P126" s="886"/>
      <c r="Q126" s="886"/>
      <c r="R126" s="888"/>
      <c r="S126" s="889"/>
      <c r="T126" s="886"/>
      <c r="U126" s="886"/>
      <c r="V126" s="890"/>
      <c r="W126" s="891"/>
      <c r="X126" s="892"/>
      <c r="Y126" s="892"/>
      <c r="Z126" s="893"/>
      <c r="AA126" s="893"/>
      <c r="AB126" s="893"/>
      <c r="AC126" s="893"/>
      <c r="AD126" s="893"/>
      <c r="AE126" s="894">
        <v>14552</v>
      </c>
      <c r="AF126" s="895"/>
      <c r="AG126" s="894"/>
      <c r="AH126" s="894"/>
      <c r="AI126" s="896"/>
      <c r="AJ126" s="1316"/>
      <c r="AK126" s="295">
        <v>14000</v>
      </c>
      <c r="AL126" s="894">
        <v>3240</v>
      </c>
      <c r="AM126" s="894">
        <v>10642</v>
      </c>
      <c r="AN126" s="894">
        <v>10642</v>
      </c>
      <c r="AO126" s="894"/>
      <c r="AP126" s="898"/>
      <c r="AQ126" s="899"/>
      <c r="AR126" s="894"/>
      <c r="AS126" s="899"/>
      <c r="AT126" s="993">
        <v>3240</v>
      </c>
      <c r="AU126" s="993">
        <v>3240</v>
      </c>
      <c r="AV126" s="1195"/>
      <c r="AW126" s="892">
        <v>0</v>
      </c>
      <c r="AX126" s="901"/>
      <c r="AY126" s="897"/>
      <c r="AZ126" s="1192">
        <v>3240</v>
      </c>
      <c r="BA126" s="998">
        <f>8740+1260</f>
        <v>10000</v>
      </c>
      <c r="BB126" s="725">
        <v>10000</v>
      </c>
      <c r="BC126" s="725">
        <v>0</v>
      </c>
      <c r="BD126" s="726"/>
      <c r="BE126" s="726">
        <v>10000</v>
      </c>
      <c r="BF126" s="1193"/>
    </row>
    <row r="127" spans="1:58" x14ac:dyDescent="0.15">
      <c r="A127" s="637">
        <f t="shared" si="85"/>
        <v>94</v>
      </c>
      <c r="B127" s="1025"/>
      <c r="C127" s="1202" t="s">
        <v>154</v>
      </c>
      <c r="D127" s="884"/>
      <c r="E127" s="885"/>
      <c r="F127" s="886"/>
      <c r="G127" s="886"/>
      <c r="H127" s="886"/>
      <c r="I127" s="886"/>
      <c r="J127" s="886"/>
      <c r="K127" s="886"/>
      <c r="L127" s="886"/>
      <c r="M127" s="886"/>
      <c r="N127" s="887"/>
      <c r="O127" s="885"/>
      <c r="P127" s="886"/>
      <c r="Q127" s="886"/>
      <c r="R127" s="888"/>
      <c r="S127" s="889"/>
      <c r="T127" s="886"/>
      <c r="U127" s="886"/>
      <c r="V127" s="890"/>
      <c r="W127" s="891"/>
      <c r="X127" s="892"/>
      <c r="Y127" s="892"/>
      <c r="Z127" s="893"/>
      <c r="AA127" s="893"/>
      <c r="AB127" s="893"/>
      <c r="AC127" s="893"/>
      <c r="AD127" s="893"/>
      <c r="AE127" s="894">
        <v>0</v>
      </c>
      <c r="AF127" s="895"/>
      <c r="AG127" s="894"/>
      <c r="AH127" s="894"/>
      <c r="AI127" s="896"/>
      <c r="AJ127" s="1317"/>
      <c r="AK127" s="295">
        <v>3000</v>
      </c>
      <c r="AL127" s="894">
        <v>0</v>
      </c>
      <c r="AM127" s="894">
        <v>0</v>
      </c>
      <c r="AN127" s="894">
        <v>0</v>
      </c>
      <c r="AO127" s="894"/>
      <c r="AP127" s="898"/>
      <c r="AQ127" s="899"/>
      <c r="AR127" s="894"/>
      <c r="AS127" s="899"/>
      <c r="AT127" s="993">
        <v>2895</v>
      </c>
      <c r="AU127" s="993">
        <v>2895</v>
      </c>
      <c r="AV127" s="1195"/>
      <c r="AW127" s="892">
        <v>0</v>
      </c>
      <c r="AX127" s="901"/>
      <c r="AY127" s="897"/>
      <c r="AZ127" s="1192">
        <v>2895</v>
      </c>
      <c r="BA127" s="998">
        <v>0</v>
      </c>
      <c r="BB127" s="725">
        <v>0</v>
      </c>
      <c r="BC127" s="725">
        <v>0</v>
      </c>
      <c r="BD127" s="726"/>
      <c r="BE127" s="726">
        <v>0</v>
      </c>
      <c r="BF127" s="1193"/>
    </row>
    <row r="128" spans="1:58" x14ac:dyDescent="0.15">
      <c r="A128" s="637">
        <f t="shared" si="85"/>
        <v>95</v>
      </c>
      <c r="B128" s="1084"/>
      <c r="C128" s="950" t="s">
        <v>208</v>
      </c>
      <c r="D128" s="951"/>
      <c r="E128" s="952"/>
      <c r="F128" s="953"/>
      <c r="G128" s="953"/>
      <c r="H128" s="953"/>
      <c r="I128" s="953"/>
      <c r="J128" s="953"/>
      <c r="K128" s="953"/>
      <c r="L128" s="953"/>
      <c r="M128" s="953"/>
      <c r="N128" s="954"/>
      <c r="O128" s="952"/>
      <c r="P128" s="953"/>
      <c r="Q128" s="953"/>
      <c r="R128" s="955"/>
      <c r="S128" s="956"/>
      <c r="T128" s="953"/>
      <c r="U128" s="953"/>
      <c r="V128" s="957"/>
      <c r="W128" s="958"/>
      <c r="X128" s="959">
        <v>9720</v>
      </c>
      <c r="Y128" s="959">
        <v>9720</v>
      </c>
      <c r="Z128" s="960">
        <v>6480</v>
      </c>
      <c r="AA128" s="960">
        <v>6480</v>
      </c>
      <c r="AB128" s="960">
        <v>6480</v>
      </c>
      <c r="AC128" s="960">
        <v>6480</v>
      </c>
      <c r="AD128" s="960">
        <v>6480</v>
      </c>
      <c r="AE128" s="632">
        <v>9720</v>
      </c>
      <c r="AF128" s="961">
        <v>-3240</v>
      </c>
      <c r="AG128" s="632"/>
      <c r="AH128" s="632"/>
      <c r="AI128" s="962"/>
      <c r="AJ128" s="1318"/>
      <c r="AK128" s="296">
        <v>3000</v>
      </c>
      <c r="AL128" s="632">
        <v>3240</v>
      </c>
      <c r="AM128" s="1203">
        <f>3240</f>
        <v>3240</v>
      </c>
      <c r="AN128" s="1203">
        <f>3240</f>
        <v>3240</v>
      </c>
      <c r="AO128" s="632">
        <v>0</v>
      </c>
      <c r="AP128" s="967">
        <v>0</v>
      </c>
      <c r="AQ128" s="1020">
        <v>140</v>
      </c>
      <c r="AR128" s="632">
        <v>140</v>
      </c>
      <c r="AS128" s="1020">
        <v>140</v>
      </c>
      <c r="AT128" s="1021">
        <v>140</v>
      </c>
      <c r="AU128" s="1021">
        <v>140</v>
      </c>
      <c r="AV128" s="1198">
        <v>-6340</v>
      </c>
      <c r="AW128" s="959">
        <v>3240</v>
      </c>
      <c r="AX128" s="966">
        <v>0</v>
      </c>
      <c r="AY128" s="963">
        <v>3000</v>
      </c>
      <c r="AZ128" s="635">
        <v>140</v>
      </c>
      <c r="BA128" s="938">
        <v>0</v>
      </c>
      <c r="BB128" s="747">
        <v>10000</v>
      </c>
      <c r="BC128" s="747">
        <v>0</v>
      </c>
      <c r="BD128" s="748"/>
      <c r="BE128" s="748">
        <v>10000</v>
      </c>
      <c r="BF128" s="1109"/>
    </row>
    <row r="129" spans="1:58" ht="15" customHeight="1" x14ac:dyDescent="0.15">
      <c r="A129" s="637">
        <f t="shared" si="85"/>
        <v>96</v>
      </c>
      <c r="B129" s="1204" t="s">
        <v>191</v>
      </c>
      <c r="C129" s="461"/>
      <c r="D129" s="462"/>
      <c r="E129" s="463"/>
      <c r="F129" s="464"/>
      <c r="G129" s="464"/>
      <c r="H129" s="464"/>
      <c r="I129" s="464"/>
      <c r="J129" s="464"/>
      <c r="K129" s="464"/>
      <c r="L129" s="464"/>
      <c r="M129" s="464"/>
      <c r="N129" s="465"/>
      <c r="O129" s="463"/>
      <c r="P129" s="464"/>
      <c r="Q129" s="464"/>
      <c r="R129" s="466"/>
      <c r="S129" s="467"/>
      <c r="T129" s="464"/>
      <c r="U129" s="464"/>
      <c r="V129" s="468"/>
      <c r="W129" s="469"/>
      <c r="X129" s="459"/>
      <c r="Y129" s="459"/>
      <c r="Z129" s="460"/>
      <c r="AA129" s="460"/>
      <c r="AB129" s="460"/>
      <c r="AC129" s="460"/>
      <c r="AD129" s="460"/>
      <c r="AE129" s="470"/>
      <c r="AF129" s="471"/>
      <c r="AG129" s="470"/>
      <c r="AH129" s="470"/>
      <c r="AI129" s="472"/>
      <c r="AJ129" s="473"/>
      <c r="AK129" s="470"/>
      <c r="AL129" s="470">
        <v>1080</v>
      </c>
      <c r="AM129" s="470">
        <v>1080</v>
      </c>
      <c r="AN129" s="470">
        <v>1080</v>
      </c>
      <c r="AO129" s="470"/>
      <c r="AP129" s="474"/>
      <c r="AQ129" s="475"/>
      <c r="AR129" s="470"/>
      <c r="AS129" s="475"/>
      <c r="AT129" s="470">
        <v>9936</v>
      </c>
      <c r="AU129" s="470">
        <v>9936</v>
      </c>
      <c r="AV129" s="594"/>
      <c r="AW129" s="459">
        <v>0</v>
      </c>
      <c r="AX129" s="476"/>
      <c r="AY129" s="473"/>
      <c r="AZ129" s="474">
        <v>10800</v>
      </c>
      <c r="BA129" s="674">
        <v>12011</v>
      </c>
      <c r="BB129" s="617">
        <v>10000</v>
      </c>
      <c r="BC129" s="617">
        <v>5060</v>
      </c>
      <c r="BD129" s="687"/>
      <c r="BE129" s="687">
        <v>10000</v>
      </c>
      <c r="BF129" s="631"/>
    </row>
    <row r="130" spans="1:58" ht="16.899999999999999" customHeight="1" x14ac:dyDescent="0.15">
      <c r="A130" s="637">
        <f t="shared" si="85"/>
        <v>97</v>
      </c>
      <c r="B130" s="1205" t="s">
        <v>199</v>
      </c>
      <c r="C130" s="504"/>
      <c r="D130" s="505"/>
      <c r="E130" s="506"/>
      <c r="F130" s="507"/>
      <c r="G130" s="507"/>
      <c r="H130" s="507"/>
      <c r="I130" s="507"/>
      <c r="J130" s="507"/>
      <c r="K130" s="507"/>
      <c r="L130" s="507"/>
      <c r="M130" s="507"/>
      <c r="N130" s="508"/>
      <c r="O130" s="506"/>
      <c r="P130" s="507"/>
      <c r="Q130" s="507"/>
      <c r="R130" s="509"/>
      <c r="S130" s="510"/>
      <c r="T130" s="507"/>
      <c r="U130" s="507"/>
      <c r="V130" s="511"/>
      <c r="W130" s="512"/>
      <c r="X130" s="519"/>
      <c r="Y130" s="519"/>
      <c r="Z130" s="595"/>
      <c r="AA130" s="595"/>
      <c r="AB130" s="595"/>
      <c r="AC130" s="595"/>
      <c r="AD130" s="595"/>
      <c r="AE130" s="513">
        <v>0</v>
      </c>
      <c r="AF130" s="514"/>
      <c r="AG130" s="513"/>
      <c r="AH130" s="513"/>
      <c r="AI130" s="515"/>
      <c r="AJ130" s="516">
        <v>0</v>
      </c>
      <c r="AK130" s="513">
        <v>200000</v>
      </c>
      <c r="AL130" s="513">
        <v>220000</v>
      </c>
      <c r="AM130" s="513">
        <v>220000</v>
      </c>
      <c r="AN130" s="513">
        <v>220000</v>
      </c>
      <c r="AO130" s="513"/>
      <c r="AP130" s="517"/>
      <c r="AQ130" s="518"/>
      <c r="AR130" s="513"/>
      <c r="AS130" s="518"/>
      <c r="AT130" s="513"/>
      <c r="AU130" s="513">
        <v>0</v>
      </c>
      <c r="AV130" s="596"/>
      <c r="AW130" s="519"/>
      <c r="AX130" s="520"/>
      <c r="AY130" s="516"/>
      <c r="AZ130" s="517">
        <v>0</v>
      </c>
      <c r="BA130" s="675">
        <v>0</v>
      </c>
      <c r="BB130" s="618">
        <v>0</v>
      </c>
      <c r="BC130" s="618">
        <v>0</v>
      </c>
      <c r="BD130" s="688"/>
      <c r="BE130" s="1237">
        <v>0</v>
      </c>
      <c r="BF130" s="1206"/>
    </row>
    <row r="131" spans="1:58" ht="16.899999999999999" customHeight="1" thickBot="1" x14ac:dyDescent="0.2">
      <c r="A131" s="637">
        <f>A130+1</f>
        <v>98</v>
      </c>
      <c r="B131" s="1207" t="s">
        <v>198</v>
      </c>
      <c r="C131" s="485"/>
      <c r="D131" s="486"/>
      <c r="E131" s="487"/>
      <c r="F131" s="488"/>
      <c r="G131" s="488"/>
      <c r="H131" s="488"/>
      <c r="I131" s="488"/>
      <c r="J131" s="488"/>
      <c r="K131" s="488"/>
      <c r="L131" s="488"/>
      <c r="M131" s="488"/>
      <c r="N131" s="489"/>
      <c r="O131" s="487"/>
      <c r="P131" s="488"/>
      <c r="Q131" s="488"/>
      <c r="R131" s="490"/>
      <c r="S131" s="491"/>
      <c r="T131" s="488"/>
      <c r="U131" s="488"/>
      <c r="V131" s="492"/>
      <c r="W131" s="493">
        <v>0</v>
      </c>
      <c r="X131" s="502"/>
      <c r="Y131" s="502">
        <v>0</v>
      </c>
      <c r="Z131" s="597">
        <v>0</v>
      </c>
      <c r="AA131" s="597">
        <v>0</v>
      </c>
      <c r="AB131" s="597">
        <v>0</v>
      </c>
      <c r="AC131" s="597">
        <v>0</v>
      </c>
      <c r="AD131" s="597">
        <v>0</v>
      </c>
      <c r="AE131" s="494">
        <v>0</v>
      </c>
      <c r="AF131" s="495">
        <f>Z131-Y131</f>
        <v>0</v>
      </c>
      <c r="AG131" s="496"/>
      <c r="AH131" s="496"/>
      <c r="AI131" s="497"/>
      <c r="AJ131" s="498">
        <v>0</v>
      </c>
      <c r="AK131" s="494">
        <v>0</v>
      </c>
      <c r="AL131" s="494"/>
      <c r="AM131" s="494"/>
      <c r="AN131" s="494"/>
      <c r="AO131" s="494"/>
      <c r="AP131" s="499">
        <v>0</v>
      </c>
      <c r="AQ131" s="500">
        <v>0</v>
      </c>
      <c r="AR131" s="494">
        <v>0</v>
      </c>
      <c r="AS131" s="500">
        <v>0</v>
      </c>
      <c r="AT131" s="494">
        <v>0</v>
      </c>
      <c r="AU131" s="494">
        <v>0</v>
      </c>
      <c r="AV131" s="501">
        <f>AT131-AC131</f>
        <v>0</v>
      </c>
      <c r="AW131" s="502">
        <f>AE131-AD131</f>
        <v>0</v>
      </c>
      <c r="AX131" s="503">
        <v>0</v>
      </c>
      <c r="AY131" s="498">
        <v>0</v>
      </c>
      <c r="AZ131" s="499">
        <f>ROUND(AV131+AY131,-3)</f>
        <v>0</v>
      </c>
      <c r="BA131" s="676">
        <v>0</v>
      </c>
      <c r="BB131" s="626">
        <v>350000</v>
      </c>
      <c r="BC131" s="626">
        <v>0</v>
      </c>
      <c r="BD131" s="689"/>
      <c r="BE131" s="1236">
        <v>350000</v>
      </c>
      <c r="BF131" s="1208" t="s">
        <v>302</v>
      </c>
    </row>
    <row r="132" spans="1:58" ht="16.899999999999999" customHeight="1" x14ac:dyDescent="0.15">
      <c r="A132" s="637">
        <f>A131+1</f>
        <v>99</v>
      </c>
      <c r="B132" s="1209" t="s">
        <v>1</v>
      </c>
      <c r="C132" s="56"/>
      <c r="D132" s="170"/>
      <c r="E132" s="173">
        <f>E5-E30</f>
        <v>2155496</v>
      </c>
      <c r="F132" s="171">
        <f>F134-F133</f>
        <v>-1440769</v>
      </c>
      <c r="G132" s="171">
        <f>G5-G30</f>
        <v>1915807</v>
      </c>
      <c r="H132" s="171">
        <f>H5-H30</f>
        <v>4651307</v>
      </c>
      <c r="I132" s="171">
        <f>I134-I133</f>
        <v>-2964353</v>
      </c>
      <c r="J132" s="171">
        <f t="shared" ref="J132:AE132" si="90">J5-J30</f>
        <v>1080656</v>
      </c>
      <c r="K132" s="171">
        <f t="shared" si="90"/>
        <v>1823029</v>
      </c>
      <c r="L132" s="171">
        <f t="shared" si="90"/>
        <v>1120191</v>
      </c>
      <c r="M132" s="171">
        <f t="shared" si="90"/>
        <v>1800340</v>
      </c>
      <c r="N132" s="172">
        <f t="shared" si="90"/>
        <v>368380</v>
      </c>
      <c r="O132" s="173">
        <f t="shared" si="90"/>
        <v>374943</v>
      </c>
      <c r="P132" s="171">
        <f t="shared" si="90"/>
        <v>878425</v>
      </c>
      <c r="Q132" s="171">
        <f t="shared" si="90"/>
        <v>-312709</v>
      </c>
      <c r="R132" s="174">
        <f t="shared" si="90"/>
        <v>1970917</v>
      </c>
      <c r="S132" s="175">
        <f t="shared" si="90"/>
        <v>1693553</v>
      </c>
      <c r="T132" s="171">
        <f t="shared" si="90"/>
        <v>1466143</v>
      </c>
      <c r="U132" s="171">
        <f t="shared" si="90"/>
        <v>-1048742</v>
      </c>
      <c r="V132" s="176">
        <f t="shared" si="90"/>
        <v>-2081495</v>
      </c>
      <c r="W132" s="177">
        <f t="shared" si="90"/>
        <v>732730</v>
      </c>
      <c r="X132" s="178">
        <f t="shared" si="90"/>
        <v>392465</v>
      </c>
      <c r="Y132" s="178">
        <f t="shared" si="90"/>
        <v>454464</v>
      </c>
      <c r="Z132" s="598">
        <f t="shared" si="90"/>
        <v>-33789</v>
      </c>
      <c r="AA132" s="598">
        <f t="shared" si="90"/>
        <v>-61844</v>
      </c>
      <c r="AB132" s="598">
        <f t="shared" si="90"/>
        <v>-454395</v>
      </c>
      <c r="AC132" s="598">
        <f t="shared" si="90"/>
        <v>-725189</v>
      </c>
      <c r="AD132" s="598">
        <f t="shared" si="90"/>
        <v>-600173</v>
      </c>
      <c r="AE132" s="218">
        <f t="shared" si="90"/>
        <v>-1822959</v>
      </c>
      <c r="AF132" s="298">
        <f>Z132-Y132</f>
        <v>-488253</v>
      </c>
      <c r="AG132" s="299"/>
      <c r="AH132" s="299"/>
      <c r="AI132" s="248"/>
      <c r="AJ132" s="286">
        <f>AJ5-AJ30</f>
        <v>250000</v>
      </c>
      <c r="AK132" s="218">
        <v>43000</v>
      </c>
      <c r="AL132" s="218">
        <f t="shared" ref="AL132:AU132" si="91">AL5-AL30</f>
        <v>2798357</v>
      </c>
      <c r="AM132" s="218">
        <f t="shared" si="91"/>
        <v>3560890</v>
      </c>
      <c r="AN132" s="218">
        <f t="shared" si="91"/>
        <v>3613476</v>
      </c>
      <c r="AO132" s="218">
        <f t="shared" si="91"/>
        <v>3402863</v>
      </c>
      <c r="AP132" s="219">
        <f t="shared" si="91"/>
        <v>2265521</v>
      </c>
      <c r="AQ132" s="260">
        <f t="shared" si="91"/>
        <v>1891437</v>
      </c>
      <c r="AR132" s="267">
        <f t="shared" si="91"/>
        <v>2082607</v>
      </c>
      <c r="AS132" s="260">
        <f t="shared" si="91"/>
        <v>2394811</v>
      </c>
      <c r="AT132" s="267">
        <f t="shared" si="91"/>
        <v>2187681</v>
      </c>
      <c r="AU132" s="267">
        <f t="shared" si="91"/>
        <v>2333244</v>
      </c>
      <c r="AV132" s="306">
        <f>AT132-AC132</f>
        <v>2912870</v>
      </c>
      <c r="AW132" s="178">
        <f>AE132-AD132</f>
        <v>-1222786</v>
      </c>
      <c r="AX132" s="179">
        <f>AX5-AX30</f>
        <v>-1390400</v>
      </c>
      <c r="AY132" s="232">
        <f>AY5-AY30</f>
        <v>636000</v>
      </c>
      <c r="AZ132" s="219">
        <v>1360161</v>
      </c>
      <c r="BA132" s="677">
        <f>BA5-BA30</f>
        <v>862406</v>
      </c>
      <c r="BB132" s="680">
        <f>BB5-BB30</f>
        <v>482000</v>
      </c>
      <c r="BC132" s="680">
        <f>BC5-BC30</f>
        <v>4442648</v>
      </c>
      <c r="BD132" s="680"/>
      <c r="BE132" s="680">
        <f>BE5-BE30</f>
        <v>389000</v>
      </c>
      <c r="BF132" s="1210"/>
    </row>
    <row r="133" spans="1:58" ht="16.899999999999999" customHeight="1" x14ac:dyDescent="0.15">
      <c r="A133" s="637">
        <f t="shared" si="85"/>
        <v>100</v>
      </c>
      <c r="B133" s="1" t="s">
        <v>2</v>
      </c>
      <c r="C133" s="52"/>
      <c r="D133" s="180"/>
      <c r="E133" s="181">
        <v>0</v>
      </c>
      <c r="F133" s="182">
        <f>E134</f>
        <v>2155496</v>
      </c>
      <c r="G133" s="182">
        <v>714727</v>
      </c>
      <c r="H133" s="182">
        <v>997432</v>
      </c>
      <c r="I133" s="182">
        <f>H134</f>
        <v>5648739</v>
      </c>
      <c r="J133" s="182">
        <v>2684386</v>
      </c>
      <c r="K133" s="182">
        <v>4311032</v>
      </c>
      <c r="L133" s="182">
        <f t="shared" ref="L133:W133" si="92">K134</f>
        <v>6134061</v>
      </c>
      <c r="M133" s="182">
        <f t="shared" si="92"/>
        <v>7254252</v>
      </c>
      <c r="N133" s="183">
        <f t="shared" si="92"/>
        <v>9054592</v>
      </c>
      <c r="O133" s="181">
        <f t="shared" si="92"/>
        <v>9422972</v>
      </c>
      <c r="P133" s="182">
        <f t="shared" si="92"/>
        <v>9797915</v>
      </c>
      <c r="Q133" s="182">
        <f t="shared" si="92"/>
        <v>10676340</v>
      </c>
      <c r="R133" s="184">
        <f t="shared" si="92"/>
        <v>10363631</v>
      </c>
      <c r="S133" s="185">
        <f t="shared" si="92"/>
        <v>12334548</v>
      </c>
      <c r="T133" s="182">
        <f t="shared" si="92"/>
        <v>14028101</v>
      </c>
      <c r="U133" s="182">
        <f t="shared" si="92"/>
        <v>15494244</v>
      </c>
      <c r="V133" s="186">
        <f t="shared" si="92"/>
        <v>14445502</v>
      </c>
      <c r="W133" s="187">
        <f t="shared" si="92"/>
        <v>12364007</v>
      </c>
      <c r="X133" s="599">
        <v>3090182</v>
      </c>
      <c r="Y133" s="599">
        <f>W134</f>
        <v>13096737</v>
      </c>
      <c r="Z133" s="600">
        <f>W134</f>
        <v>13096737</v>
      </c>
      <c r="AA133" s="600">
        <v>3183889</v>
      </c>
      <c r="AB133" s="600">
        <v>3183889</v>
      </c>
      <c r="AC133" s="600">
        <v>3183889</v>
      </c>
      <c r="AD133" s="600">
        <v>3183889</v>
      </c>
      <c r="AE133" s="601">
        <v>3090182</v>
      </c>
      <c r="AF133" s="602">
        <f>Z133-Y133</f>
        <v>0</v>
      </c>
      <c r="AG133" s="300"/>
      <c r="AH133" s="300"/>
      <c r="AI133" s="249"/>
      <c r="AJ133" s="287">
        <f>AE134</f>
        <v>1267223</v>
      </c>
      <c r="AK133" s="288">
        <v>1354930</v>
      </c>
      <c r="AL133" s="220">
        <f>AE134</f>
        <v>1267223</v>
      </c>
      <c r="AM133" s="220">
        <f>AF134</f>
        <v>-488253</v>
      </c>
      <c r="AN133" s="220">
        <f>AG134</f>
        <v>0</v>
      </c>
      <c r="AO133" s="220">
        <f>AF134</f>
        <v>-488253</v>
      </c>
      <c r="AP133" s="221">
        <f>AJ134</f>
        <v>1517223</v>
      </c>
      <c r="AQ133" s="261">
        <f>AE134</f>
        <v>1267223</v>
      </c>
      <c r="AR133" s="220">
        <f>AE134</f>
        <v>1267223</v>
      </c>
      <c r="AS133" s="261">
        <v>1267223</v>
      </c>
      <c r="AT133" s="220">
        <v>1267223</v>
      </c>
      <c r="AU133" s="220">
        <v>1267223</v>
      </c>
      <c r="AV133" s="576">
        <f>AT133-AC133</f>
        <v>-1916666</v>
      </c>
      <c r="AW133" s="188">
        <f>AE133-AD133</f>
        <v>-93707</v>
      </c>
      <c r="AX133" s="189">
        <v>93707</v>
      </c>
      <c r="AY133" s="233">
        <v>1354930</v>
      </c>
      <c r="AZ133" s="344">
        <f>AU133</f>
        <v>1267223</v>
      </c>
      <c r="BA133" s="657">
        <f>AZ134</f>
        <v>2627384</v>
      </c>
      <c r="BB133" s="606">
        <f>BA134</f>
        <v>3489790</v>
      </c>
      <c r="BC133" s="606">
        <f>BA134</f>
        <v>3489790</v>
      </c>
      <c r="BD133" s="606"/>
      <c r="BE133" s="606">
        <f>BC134</f>
        <v>7932438</v>
      </c>
      <c r="BF133" s="1211"/>
    </row>
    <row r="134" spans="1:58" ht="16.899999999999999" customHeight="1" thickBot="1" x14ac:dyDescent="0.2">
      <c r="A134" s="637">
        <f t="shared" si="85"/>
        <v>101</v>
      </c>
      <c r="B134" s="2" t="s">
        <v>215</v>
      </c>
      <c r="C134" s="54"/>
      <c r="D134" s="190"/>
      <c r="E134" s="191">
        <f>E133+E132</f>
        <v>2155496</v>
      </c>
      <c r="F134" s="192">
        <f>G133</f>
        <v>714727</v>
      </c>
      <c r="G134" s="192">
        <f>G133+G132</f>
        <v>2630534</v>
      </c>
      <c r="H134" s="192">
        <f>H133+H132</f>
        <v>5648739</v>
      </c>
      <c r="I134" s="192">
        <f>J133</f>
        <v>2684386</v>
      </c>
      <c r="J134" s="192">
        <f t="shared" ref="J134:W134" si="93">J133+J132</f>
        <v>3765042</v>
      </c>
      <c r="K134" s="192">
        <f t="shared" si="93"/>
        <v>6134061</v>
      </c>
      <c r="L134" s="192">
        <f t="shared" si="93"/>
        <v>7254252</v>
      </c>
      <c r="M134" s="192">
        <f t="shared" si="93"/>
        <v>9054592</v>
      </c>
      <c r="N134" s="193">
        <f t="shared" si="93"/>
        <v>9422972</v>
      </c>
      <c r="O134" s="191">
        <f t="shared" si="93"/>
        <v>9797915</v>
      </c>
      <c r="P134" s="192">
        <f t="shared" si="93"/>
        <v>10676340</v>
      </c>
      <c r="Q134" s="192">
        <f t="shared" si="93"/>
        <v>10363631</v>
      </c>
      <c r="R134" s="194">
        <f t="shared" si="93"/>
        <v>12334548</v>
      </c>
      <c r="S134" s="195">
        <f t="shared" si="93"/>
        <v>14028101</v>
      </c>
      <c r="T134" s="192">
        <f t="shared" si="93"/>
        <v>15494244</v>
      </c>
      <c r="U134" s="192">
        <f t="shared" si="93"/>
        <v>14445502</v>
      </c>
      <c r="V134" s="196">
        <f t="shared" si="93"/>
        <v>12364007</v>
      </c>
      <c r="W134" s="197">
        <f t="shared" si="93"/>
        <v>13096737</v>
      </c>
      <c r="X134" s="198">
        <f t="shared" ref="X134:AE134" si="94">SUM(X132:X133)</f>
        <v>3482647</v>
      </c>
      <c r="Y134" s="198">
        <f t="shared" si="94"/>
        <v>13551201</v>
      </c>
      <c r="Z134" s="236">
        <f t="shared" si="94"/>
        <v>13062948</v>
      </c>
      <c r="AA134" s="236">
        <f t="shared" si="94"/>
        <v>3122045</v>
      </c>
      <c r="AB134" s="236">
        <f t="shared" si="94"/>
        <v>2729494</v>
      </c>
      <c r="AC134" s="236">
        <f>SUM(AC132:AC133)</f>
        <v>2458700</v>
      </c>
      <c r="AD134" s="236">
        <f>SUM(AD132:AD133)</f>
        <v>2583716</v>
      </c>
      <c r="AE134" s="290">
        <f t="shared" si="94"/>
        <v>1267223</v>
      </c>
      <c r="AF134" s="281">
        <f>Z134-Y134</f>
        <v>-488253</v>
      </c>
      <c r="AG134" s="301"/>
      <c r="AH134" s="301"/>
      <c r="AI134" s="250"/>
      <c r="AJ134" s="289">
        <f>AJ133+AJ132</f>
        <v>1517223</v>
      </c>
      <c r="AK134" s="290">
        <v>1397930</v>
      </c>
      <c r="AL134" s="222">
        <f t="shared" ref="AL134:AT134" si="95">SUM(AL132:AL133)</f>
        <v>4065580</v>
      </c>
      <c r="AM134" s="222">
        <f t="shared" si="95"/>
        <v>3072637</v>
      </c>
      <c r="AN134" s="222">
        <f t="shared" si="95"/>
        <v>3613476</v>
      </c>
      <c r="AO134" s="222">
        <f>SUM(AO132:AO133)</f>
        <v>2914610</v>
      </c>
      <c r="AP134" s="223">
        <f t="shared" si="95"/>
        <v>3782744</v>
      </c>
      <c r="AQ134" s="262">
        <f t="shared" si="95"/>
        <v>3158660</v>
      </c>
      <c r="AR134" s="222">
        <f t="shared" si="95"/>
        <v>3349830</v>
      </c>
      <c r="AS134" s="262">
        <f t="shared" si="95"/>
        <v>3662034</v>
      </c>
      <c r="AT134" s="222">
        <f t="shared" si="95"/>
        <v>3454904</v>
      </c>
      <c r="AU134" s="222">
        <f>SUM(AU132:AU133)</f>
        <v>3600467</v>
      </c>
      <c r="AV134" s="307">
        <f>AT134-AC134</f>
        <v>996204</v>
      </c>
      <c r="AW134" s="198">
        <f>AE134-AD134</f>
        <v>-1316493</v>
      </c>
      <c r="AX134" s="603">
        <f>SUM(AX132:AX133)</f>
        <v>-1296693</v>
      </c>
      <c r="AY134" s="289">
        <f>AY132+AY133</f>
        <v>1990930</v>
      </c>
      <c r="AZ134" s="345">
        <f>SUM(AZ132:AZ133)</f>
        <v>2627384</v>
      </c>
      <c r="BA134" s="345">
        <f>SUM(BA132:BA133)</f>
        <v>3489790</v>
      </c>
      <c r="BB134" s="345">
        <f>SUM(BB132:BB133)</f>
        <v>3971790</v>
      </c>
      <c r="BC134" s="345">
        <f t="shared" ref="BC134" si="96">SUM(BC132:BC133)</f>
        <v>7932438</v>
      </c>
      <c r="BD134" s="345"/>
      <c r="BE134" s="345">
        <f>SUM(BE132:BE133)</f>
        <v>8321438</v>
      </c>
      <c r="BF134" s="1212"/>
    </row>
    <row r="135" spans="1:58" x14ac:dyDescent="0.15">
      <c r="B135" s="637"/>
      <c r="C135" s="637"/>
      <c r="D135" s="637"/>
      <c r="E135" s="637" t="s">
        <v>101</v>
      </c>
      <c r="F135" s="637"/>
      <c r="G135" s="637"/>
      <c r="H135" s="637"/>
      <c r="I135" s="637"/>
      <c r="J135" s="637"/>
      <c r="K135" s="637"/>
      <c r="L135" s="637"/>
      <c r="M135" s="637"/>
      <c r="N135" s="637"/>
      <c r="O135" s="637" t="s">
        <v>98</v>
      </c>
      <c r="P135" s="637"/>
      <c r="Q135" s="637"/>
      <c r="R135" s="637"/>
      <c r="S135" s="637" t="s">
        <v>99</v>
      </c>
      <c r="T135" s="637"/>
      <c r="U135" s="637"/>
      <c r="V135" s="637"/>
      <c r="W135" s="637" t="s">
        <v>100</v>
      </c>
      <c r="X135" s="637"/>
      <c r="Y135" s="637"/>
      <c r="Z135" s="637"/>
      <c r="AA135" s="637"/>
      <c r="AB135" s="637"/>
      <c r="AC135" s="637"/>
      <c r="AD135" s="637"/>
      <c r="AZ135" s="604"/>
    </row>
    <row r="136" spans="1:58" hidden="1" x14ac:dyDescent="0.15"/>
    <row r="137" spans="1:58" ht="15" hidden="1" customHeight="1" x14ac:dyDescent="0.15">
      <c r="B137" s="1319"/>
      <c r="C137" s="1320"/>
      <c r="D137" s="1321"/>
      <c r="E137" s="58">
        <v>36220</v>
      </c>
      <c r="F137" s="59">
        <v>36586</v>
      </c>
      <c r="G137" s="59">
        <v>36951</v>
      </c>
      <c r="H137" s="59">
        <v>37316</v>
      </c>
      <c r="I137" s="59">
        <v>37681</v>
      </c>
      <c r="J137" s="59">
        <v>38047</v>
      </c>
      <c r="K137" s="59">
        <v>38412</v>
      </c>
      <c r="L137" s="59">
        <v>38869</v>
      </c>
      <c r="M137" s="59"/>
      <c r="N137" s="59">
        <v>39508</v>
      </c>
      <c r="O137" s="59">
        <v>39873</v>
      </c>
      <c r="P137" s="59">
        <v>40238</v>
      </c>
      <c r="Q137" s="59">
        <v>40603</v>
      </c>
      <c r="R137" s="59">
        <v>40969</v>
      </c>
      <c r="S137" s="59">
        <v>41334</v>
      </c>
      <c r="T137" s="59">
        <v>41699</v>
      </c>
      <c r="U137" s="59">
        <v>42064</v>
      </c>
      <c r="V137" s="59">
        <v>42430</v>
      </c>
      <c r="W137" s="59"/>
      <c r="X137" s="59"/>
      <c r="Y137" s="59"/>
      <c r="Z137" s="59"/>
      <c r="AA137" s="59"/>
      <c r="AB137" s="59"/>
      <c r="AC137" s="59"/>
      <c r="AD137" s="59"/>
      <c r="AE137" s="60">
        <v>42856</v>
      </c>
      <c r="AF137" s="60"/>
      <c r="AG137" s="60"/>
      <c r="AH137" s="60"/>
      <c r="AI137" s="60"/>
      <c r="AJ137" s="60">
        <v>43252</v>
      </c>
      <c r="AK137" s="60"/>
      <c r="AL137" s="137"/>
      <c r="AM137" s="137"/>
      <c r="AN137" s="137"/>
      <c r="AO137" s="137"/>
      <c r="AP137" s="137"/>
      <c r="AQ137" s="137"/>
      <c r="AR137" s="137"/>
      <c r="AS137" s="137"/>
      <c r="AT137" s="137"/>
      <c r="AU137" s="137"/>
      <c r="AV137" s="137"/>
      <c r="AW137" s="137"/>
      <c r="AX137" s="137"/>
      <c r="AY137" s="137"/>
      <c r="AZ137" s="60"/>
      <c r="BA137" s="251"/>
      <c r="BB137" s="251"/>
      <c r="BC137" s="251"/>
      <c r="BD137" s="251"/>
      <c r="BE137" s="251"/>
      <c r="BF137" s="148"/>
    </row>
    <row r="138" spans="1:58" ht="26.25" hidden="1" customHeight="1" x14ac:dyDescent="0.15">
      <c r="B138" s="1301"/>
      <c r="C138" s="1302"/>
      <c r="D138" s="1303"/>
      <c r="E138" s="95" t="s">
        <v>72</v>
      </c>
      <c r="F138" s="96" t="s">
        <v>73</v>
      </c>
      <c r="G138" s="96" t="s">
        <v>74</v>
      </c>
      <c r="H138" s="96" t="s">
        <v>75</v>
      </c>
      <c r="I138" s="96" t="s">
        <v>76</v>
      </c>
      <c r="J138" s="96" t="s">
        <v>68</v>
      </c>
      <c r="K138" s="96" t="s">
        <v>77</v>
      </c>
      <c r="L138" s="96" t="s">
        <v>78</v>
      </c>
      <c r="M138" s="96"/>
      <c r="N138" s="96" t="s">
        <v>80</v>
      </c>
      <c r="O138" s="96" t="s">
        <v>59</v>
      </c>
      <c r="P138" s="96" t="s">
        <v>81</v>
      </c>
      <c r="Q138" s="96" t="s">
        <v>58</v>
      </c>
      <c r="R138" s="96" t="s">
        <v>57</v>
      </c>
      <c r="S138" s="96" t="s">
        <v>56</v>
      </c>
      <c r="T138" s="96" t="s">
        <v>55</v>
      </c>
      <c r="U138" s="96" t="s">
        <v>54</v>
      </c>
      <c r="V138" s="96" t="s">
        <v>52</v>
      </c>
      <c r="W138" s="96" t="s">
        <v>108</v>
      </c>
      <c r="X138" s="96"/>
      <c r="Y138" s="96"/>
      <c r="Z138" s="96"/>
      <c r="AA138" s="96"/>
      <c r="AB138" s="96"/>
      <c r="AC138" s="96"/>
      <c r="AD138" s="96"/>
      <c r="AE138" s="97" t="s">
        <v>53</v>
      </c>
      <c r="AF138" s="97"/>
      <c r="AG138" s="97"/>
      <c r="AH138" s="97"/>
      <c r="AI138" s="97"/>
      <c r="AJ138" s="97" t="s">
        <v>102</v>
      </c>
      <c r="AK138" s="97"/>
      <c r="AL138" s="138"/>
      <c r="AM138" s="138"/>
      <c r="AN138" s="138"/>
      <c r="AO138" s="138"/>
      <c r="AP138" s="138"/>
      <c r="AQ138" s="138"/>
      <c r="AR138" s="138"/>
      <c r="AS138" s="138"/>
      <c r="AT138" s="138"/>
      <c r="AU138" s="138"/>
      <c r="AV138" s="138"/>
      <c r="AW138" s="138"/>
      <c r="AX138" s="138"/>
      <c r="AY138" s="138"/>
      <c r="AZ138" s="97"/>
      <c r="BA138" s="252"/>
      <c r="BB138" s="252"/>
      <c r="BC138" s="252"/>
      <c r="BD138" s="252"/>
      <c r="BE138" s="252"/>
      <c r="BF138" s="149"/>
    </row>
    <row r="139" spans="1:58" ht="15" hidden="1" customHeight="1" x14ac:dyDescent="0.15">
      <c r="B139" s="139"/>
      <c r="C139" s="140"/>
      <c r="D139" s="140"/>
      <c r="E139" s="98"/>
      <c r="F139" s="99"/>
      <c r="G139" s="99"/>
      <c r="H139" s="99"/>
      <c r="I139" s="99"/>
      <c r="J139" s="99"/>
      <c r="K139" s="99"/>
      <c r="L139" s="61">
        <v>39142</v>
      </c>
      <c r="M139" s="99"/>
      <c r="N139" s="99"/>
      <c r="O139" s="99"/>
      <c r="P139" s="99"/>
      <c r="Q139" s="99"/>
      <c r="R139" s="99"/>
      <c r="S139" s="99"/>
      <c r="T139" s="99"/>
      <c r="U139" s="99"/>
      <c r="V139" s="99"/>
      <c r="W139" s="99"/>
      <c r="X139" s="99"/>
      <c r="Y139" s="99"/>
      <c r="Z139" s="99"/>
      <c r="AA139" s="99"/>
      <c r="AB139" s="99"/>
      <c r="AC139" s="99"/>
      <c r="AD139" s="99"/>
      <c r="AE139" s="100"/>
      <c r="AF139" s="100"/>
      <c r="AG139" s="100"/>
      <c r="AH139" s="100"/>
      <c r="AI139" s="100"/>
      <c r="AJ139" s="100"/>
      <c r="AK139" s="100"/>
      <c r="AL139" s="141"/>
      <c r="AM139" s="141"/>
      <c r="AN139" s="141"/>
      <c r="AO139" s="141"/>
      <c r="AP139" s="141"/>
      <c r="AQ139" s="141"/>
      <c r="AR139" s="141"/>
      <c r="AS139" s="141"/>
      <c r="AT139" s="141"/>
      <c r="AU139" s="141"/>
      <c r="AV139" s="141"/>
      <c r="AW139" s="141"/>
      <c r="AX139" s="141"/>
      <c r="AY139" s="141"/>
      <c r="AZ139" s="141"/>
      <c r="BA139" s="253"/>
      <c r="BB139" s="253"/>
      <c r="BC139" s="253"/>
      <c r="BD139" s="253"/>
      <c r="BE139" s="253"/>
      <c r="BF139" s="150"/>
    </row>
    <row r="140" spans="1:58" ht="26.25" hidden="1" customHeight="1" x14ac:dyDescent="0.15">
      <c r="B140" s="1304"/>
      <c r="C140" s="1305"/>
      <c r="D140" s="1306"/>
      <c r="E140" s="142"/>
      <c r="F140" s="101"/>
      <c r="G140" s="101"/>
      <c r="H140" s="101"/>
      <c r="I140" s="101"/>
      <c r="J140" s="101"/>
      <c r="K140" s="101"/>
      <c r="L140" s="101" t="s">
        <v>79</v>
      </c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1"/>
      <c r="Z140" s="101"/>
      <c r="AA140" s="101"/>
      <c r="AB140" s="101"/>
      <c r="AC140" s="101"/>
      <c r="AD140" s="101"/>
      <c r="AE140" s="143"/>
      <c r="AF140" s="143"/>
      <c r="AG140" s="143"/>
      <c r="AH140" s="143"/>
      <c r="AI140" s="143"/>
      <c r="AJ140" s="143"/>
      <c r="AK140" s="143"/>
      <c r="AL140" s="144"/>
      <c r="AM140" s="144"/>
      <c r="AN140" s="144"/>
      <c r="AO140" s="144"/>
      <c r="AP140" s="144"/>
      <c r="AQ140" s="144"/>
      <c r="AR140" s="144"/>
      <c r="AS140" s="144"/>
      <c r="AT140" s="144"/>
      <c r="AU140" s="144"/>
      <c r="AV140" s="144"/>
      <c r="AW140" s="144"/>
      <c r="AX140" s="144"/>
      <c r="AY140" s="144"/>
      <c r="AZ140" s="144"/>
      <c r="BA140" s="254"/>
      <c r="BB140" s="254"/>
      <c r="BC140" s="254"/>
      <c r="BD140" s="254"/>
      <c r="BE140" s="254"/>
      <c r="BF140" s="151"/>
    </row>
    <row r="141" spans="1:58" hidden="1" x14ac:dyDescent="0.15">
      <c r="W141" s="3" t="s">
        <v>95</v>
      </c>
    </row>
    <row r="142" spans="1:58" hidden="1" x14ac:dyDescent="0.15"/>
    <row r="143" spans="1:58" ht="15.95" hidden="1" customHeight="1" x14ac:dyDescent="0.15">
      <c r="B143" s="166" t="s">
        <v>83</v>
      </c>
      <c r="C143" s="167"/>
      <c r="D143" s="168"/>
      <c r="E143" s="161" t="s">
        <v>84</v>
      </c>
      <c r="F143" s="152" t="s">
        <v>85</v>
      </c>
      <c r="G143" s="152" t="s">
        <v>86</v>
      </c>
      <c r="H143" s="152"/>
      <c r="I143" s="152" t="s">
        <v>87</v>
      </c>
      <c r="J143" s="152" t="s">
        <v>88</v>
      </c>
      <c r="K143" s="152"/>
      <c r="L143" s="152"/>
      <c r="M143" s="152"/>
      <c r="N143" s="152"/>
      <c r="O143" s="152"/>
      <c r="P143" s="152"/>
      <c r="Q143" s="152"/>
      <c r="R143" s="152"/>
      <c r="S143" s="152"/>
      <c r="T143" s="152"/>
      <c r="U143" s="152"/>
      <c r="V143" s="152"/>
      <c r="W143" s="152"/>
      <c r="X143" s="152"/>
      <c r="Y143" s="152"/>
      <c r="Z143" s="152"/>
      <c r="AA143" s="152"/>
      <c r="AB143" s="152"/>
      <c r="AC143" s="152"/>
      <c r="AD143" s="152"/>
      <c r="AE143" s="153"/>
      <c r="AF143" s="153"/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255"/>
      <c r="BB143" s="255"/>
      <c r="BC143" s="255"/>
      <c r="BD143" s="255"/>
      <c r="BE143" s="255"/>
      <c r="BF143" s="154"/>
    </row>
    <row r="144" spans="1:58" ht="15.95" hidden="1" customHeight="1" x14ac:dyDescent="0.15">
      <c r="B144" s="155" t="s">
        <v>96</v>
      </c>
      <c r="C144" s="156"/>
      <c r="D144" s="164"/>
      <c r="E144" s="162"/>
      <c r="F144" s="156" t="s">
        <v>91</v>
      </c>
      <c r="G144" s="156" t="s">
        <v>90</v>
      </c>
      <c r="H144" s="156"/>
      <c r="I144" s="156" t="s">
        <v>90</v>
      </c>
      <c r="J144" s="156" t="s">
        <v>90</v>
      </c>
      <c r="K144" s="156" t="s">
        <v>90</v>
      </c>
      <c r="L144" s="156" t="s">
        <v>90</v>
      </c>
      <c r="M144" s="156" t="s">
        <v>90</v>
      </c>
      <c r="N144" s="156" t="s">
        <v>90</v>
      </c>
      <c r="O144" s="156" t="s">
        <v>90</v>
      </c>
      <c r="P144" s="156" t="s">
        <v>90</v>
      </c>
      <c r="Q144" s="156" t="s">
        <v>90</v>
      </c>
      <c r="R144" s="156" t="s">
        <v>90</v>
      </c>
      <c r="S144" s="156" t="s">
        <v>90</v>
      </c>
      <c r="T144" s="156" t="s">
        <v>90</v>
      </c>
      <c r="U144" s="156" t="s">
        <v>90</v>
      </c>
      <c r="V144" s="156" t="s">
        <v>94</v>
      </c>
      <c r="W144" s="156" t="s">
        <v>94</v>
      </c>
      <c r="X144" s="156"/>
      <c r="Y144" s="156"/>
      <c r="Z144" s="156"/>
      <c r="AA144" s="156"/>
      <c r="AB144" s="156"/>
      <c r="AC144" s="156"/>
      <c r="AD144" s="156"/>
      <c r="AE144" s="135" t="s">
        <v>94</v>
      </c>
      <c r="AF144" s="135"/>
      <c r="AG144" s="135"/>
      <c r="AH144" s="135"/>
      <c r="AI144" s="135"/>
      <c r="AJ144" s="135"/>
      <c r="AK144" s="135"/>
      <c r="AL144" s="135"/>
      <c r="AM144" s="135"/>
      <c r="AN144" s="135"/>
      <c r="AO144" s="135"/>
      <c r="AP144" s="135"/>
      <c r="AQ144" s="135"/>
      <c r="AR144" s="135"/>
      <c r="AS144" s="135"/>
      <c r="AT144" s="135"/>
      <c r="AU144" s="135"/>
      <c r="AV144" s="135"/>
      <c r="AW144" s="135"/>
      <c r="AX144" s="135"/>
      <c r="AY144" s="135"/>
      <c r="AZ144" s="135"/>
      <c r="BA144" s="256"/>
      <c r="BB144" s="256"/>
      <c r="BC144" s="256"/>
      <c r="BD144" s="256"/>
      <c r="BE144" s="256"/>
      <c r="BF144" s="44"/>
    </row>
    <row r="145" spans="2:58" ht="15.95" hidden="1" customHeight="1" x14ac:dyDescent="0.15">
      <c r="B145" s="157" t="s">
        <v>97</v>
      </c>
      <c r="C145" s="158"/>
      <c r="D145" s="165"/>
      <c r="E145" s="163"/>
      <c r="F145" s="158"/>
      <c r="G145" s="158"/>
      <c r="H145" s="158" t="s">
        <v>89</v>
      </c>
      <c r="I145" s="158" t="s">
        <v>92</v>
      </c>
      <c r="J145" s="158" t="s">
        <v>93</v>
      </c>
      <c r="K145" s="158" t="s">
        <v>93</v>
      </c>
      <c r="L145" s="158" t="s">
        <v>92</v>
      </c>
      <c r="M145" s="158" t="s">
        <v>92</v>
      </c>
      <c r="N145" s="158" t="s">
        <v>92</v>
      </c>
      <c r="O145" s="158" t="s">
        <v>92</v>
      </c>
      <c r="P145" s="158" t="s">
        <v>93</v>
      </c>
      <c r="Q145" s="158" t="s">
        <v>92</v>
      </c>
      <c r="R145" s="158" t="s">
        <v>93</v>
      </c>
      <c r="S145" s="158" t="s">
        <v>93</v>
      </c>
      <c r="T145" s="158" t="s">
        <v>92</v>
      </c>
      <c r="U145" s="158" t="s">
        <v>93</v>
      </c>
      <c r="V145" s="158" t="s">
        <v>92</v>
      </c>
      <c r="W145" s="158" t="s">
        <v>93</v>
      </c>
      <c r="X145" s="158"/>
      <c r="Y145" s="158"/>
      <c r="Z145" s="158"/>
      <c r="AA145" s="158"/>
      <c r="AB145" s="158"/>
      <c r="AC145" s="158"/>
      <c r="AD145" s="158"/>
      <c r="AE145" s="159" t="s">
        <v>92</v>
      </c>
      <c r="AF145" s="159"/>
      <c r="AG145" s="160"/>
      <c r="AH145" s="160"/>
      <c r="AI145" s="160"/>
      <c r="AJ145" s="160"/>
      <c r="AK145" s="160"/>
      <c r="AL145" s="160"/>
      <c r="AM145" s="160"/>
      <c r="AN145" s="160"/>
      <c r="AO145" s="160"/>
      <c r="AP145" s="160"/>
      <c r="AQ145" s="160"/>
      <c r="AR145" s="160"/>
      <c r="AS145" s="160"/>
      <c r="AT145" s="160"/>
      <c r="AU145" s="160"/>
      <c r="AV145" s="160"/>
      <c r="AW145" s="160"/>
      <c r="AX145" s="160"/>
      <c r="AY145" s="160"/>
      <c r="AZ145" s="235"/>
      <c r="BA145" s="257"/>
      <c r="BB145" s="257"/>
      <c r="BC145" s="257"/>
      <c r="BD145" s="257"/>
      <c r="BE145" s="257"/>
      <c r="BF145" s="47"/>
    </row>
  </sheetData>
  <mergeCells count="57">
    <mergeCell ref="B138:D138"/>
    <mergeCell ref="B140:D140"/>
    <mergeCell ref="C78:D78"/>
    <mergeCell ref="C75:D75"/>
    <mergeCell ref="AJ106:AJ107"/>
    <mergeCell ref="AJ110:AJ116"/>
    <mergeCell ref="AJ118:AJ122"/>
    <mergeCell ref="AJ126:AJ128"/>
    <mergeCell ref="B137:D137"/>
    <mergeCell ref="J80:J86"/>
    <mergeCell ref="K80:K86"/>
    <mergeCell ref="L80:L86"/>
    <mergeCell ref="M80:M86"/>
    <mergeCell ref="N80:N86"/>
    <mergeCell ref="AJ89:AJ94"/>
    <mergeCell ref="T72:T76"/>
    <mergeCell ref="E80:E86"/>
    <mergeCell ref="F80:F86"/>
    <mergeCell ref="G80:G86"/>
    <mergeCell ref="H80:H86"/>
    <mergeCell ref="I80:I86"/>
    <mergeCell ref="AJ49:AJ50"/>
    <mergeCell ref="AJ52:AJ57"/>
    <mergeCell ref="AJ67:AJ70"/>
    <mergeCell ref="M72:M76"/>
    <mergeCell ref="N72:N76"/>
    <mergeCell ref="O72:O76"/>
    <mergeCell ref="P72:P76"/>
    <mergeCell ref="Q72:Q76"/>
    <mergeCell ref="R72:R76"/>
    <mergeCell ref="S72:S76"/>
    <mergeCell ref="U72:U76"/>
    <mergeCell ref="V72:V76"/>
    <mergeCell ref="W72:W76"/>
    <mergeCell ref="AJ72:AJ76"/>
    <mergeCell ref="AR36:AR39"/>
    <mergeCell ref="AV36:AV39"/>
    <mergeCell ref="AX36:AX39"/>
    <mergeCell ref="AY36:AY39"/>
    <mergeCell ref="AJ44:AJ45"/>
    <mergeCell ref="AQ36:AQ39"/>
    <mergeCell ref="B30:D30"/>
    <mergeCell ref="AJ36:AJ38"/>
    <mergeCell ref="AK36:AK37"/>
    <mergeCell ref="AO36:AO39"/>
    <mergeCell ref="AP36:AP39"/>
    <mergeCell ref="B1:BF1"/>
    <mergeCell ref="B4:D4"/>
    <mergeCell ref="B5:D5"/>
    <mergeCell ref="AJ7:AJ13"/>
    <mergeCell ref="AE23:AE24"/>
    <mergeCell ref="AJ23:AJ24"/>
    <mergeCell ref="AK23:AK24"/>
    <mergeCell ref="AT23:AT24"/>
    <mergeCell ref="AU23:AU24"/>
    <mergeCell ref="AZ23:AZ24"/>
    <mergeCell ref="B2:BF2"/>
  </mergeCells>
  <phoneticPr fontId="2"/>
  <pageMargins left="0.7" right="0.7" top="0.75" bottom="0.75" header="0.3" footer="0.3"/>
  <pageSetup paperSize="274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BC861-9F52-482B-AED6-8310B0100D8C}">
  <dimension ref="B1:BJ32"/>
  <sheetViews>
    <sheetView workbookViewId="0">
      <selection activeCell="B2" sqref="B2:AB2"/>
    </sheetView>
  </sheetViews>
  <sheetFormatPr defaultColWidth="9" defaultRowHeight="13.5" x14ac:dyDescent="0.15"/>
  <cols>
    <col min="1" max="1" width="3.25" style="750" customWidth="1"/>
    <col min="2" max="4" width="2.625" style="750" customWidth="1"/>
    <col min="5" max="10" width="3.625" style="750" customWidth="1"/>
    <col min="11" max="11" width="1" style="750" customWidth="1"/>
    <col min="12" max="12" width="3.625" style="750" hidden="1" customWidth="1"/>
    <col min="13" max="15" width="3.625" style="750" customWidth="1"/>
    <col min="16" max="16" width="5.25" style="750" customWidth="1"/>
    <col min="17" max="19" width="3.625" style="750" customWidth="1"/>
    <col min="20" max="20" width="5" style="750" customWidth="1"/>
    <col min="21" max="23" width="3.625" style="750" customWidth="1"/>
    <col min="24" max="24" width="6.5" style="750" customWidth="1"/>
    <col min="25" max="27" width="3.625" style="750" customWidth="1"/>
    <col min="28" max="28" width="5" style="750" customWidth="1"/>
    <col min="29" max="30" width="3.625" style="750" customWidth="1"/>
    <col min="31" max="31" width="9" style="750"/>
    <col min="32" max="32" width="13.375" style="750" customWidth="1"/>
    <col min="33" max="16384" width="9" style="750"/>
  </cols>
  <sheetData>
    <row r="1" spans="2:62" s="3" customFormat="1" ht="34.9" customHeight="1" x14ac:dyDescent="0.15">
      <c r="B1" s="1247" t="s">
        <v>260</v>
      </c>
      <c r="C1" s="1247"/>
      <c r="D1" s="1247"/>
      <c r="E1" s="1247"/>
      <c r="F1" s="1247"/>
      <c r="G1" s="1247"/>
      <c r="H1" s="1247"/>
      <c r="I1" s="1247"/>
      <c r="J1" s="1247"/>
      <c r="K1" s="1247"/>
      <c r="L1" s="1247"/>
      <c r="M1" s="1247"/>
      <c r="N1" s="1247"/>
      <c r="O1" s="1247"/>
      <c r="P1" s="1247"/>
      <c r="Q1" s="1247"/>
      <c r="R1" s="1247"/>
      <c r="S1" s="1247"/>
      <c r="T1" s="1247"/>
      <c r="U1" s="1247"/>
      <c r="V1" s="1247"/>
      <c r="W1" s="1247"/>
      <c r="X1" s="1247"/>
      <c r="Y1" s="1247"/>
      <c r="Z1" s="1247"/>
      <c r="AA1" s="1247"/>
      <c r="AB1" s="1247"/>
      <c r="AC1" s="773"/>
      <c r="AD1" s="773"/>
      <c r="AE1" s="773"/>
      <c r="AF1" s="773"/>
      <c r="AG1" s="773"/>
      <c r="AH1" s="773"/>
      <c r="AI1" s="773"/>
      <c r="AJ1" s="773"/>
      <c r="AK1" s="773"/>
      <c r="AL1" s="773"/>
      <c r="AM1" s="773"/>
      <c r="AN1" s="773"/>
      <c r="AO1" s="773"/>
      <c r="AP1" s="773"/>
      <c r="AQ1" s="773"/>
      <c r="AR1" s="773"/>
      <c r="AS1" s="773"/>
      <c r="AT1" s="773"/>
      <c r="AU1" s="773"/>
      <c r="AV1" s="773"/>
      <c r="AW1" s="773"/>
      <c r="AX1" s="773"/>
      <c r="AY1" s="773"/>
      <c r="AZ1" s="773"/>
      <c r="BA1" s="773"/>
      <c r="BB1" s="773"/>
      <c r="BC1" s="773"/>
      <c r="BD1" s="773"/>
      <c r="BE1" s="773"/>
      <c r="BF1" s="773"/>
      <c r="BG1" s="773"/>
      <c r="BH1" s="773"/>
      <c r="BI1" s="773"/>
      <c r="BJ1" s="773"/>
    </row>
    <row r="2" spans="2:62" s="753" customFormat="1" ht="15" customHeight="1" x14ac:dyDescent="0.15">
      <c r="B2" s="1336" t="s">
        <v>236</v>
      </c>
      <c r="C2" s="1337"/>
      <c r="D2" s="1337"/>
      <c r="E2" s="1337"/>
      <c r="F2" s="1337"/>
      <c r="G2" s="1337"/>
      <c r="H2" s="1337"/>
      <c r="I2" s="1337"/>
      <c r="J2" s="1337"/>
      <c r="K2" s="1337"/>
      <c r="L2" s="1337"/>
      <c r="M2" s="1337"/>
      <c r="N2" s="1337"/>
      <c r="O2" s="1337"/>
      <c r="P2" s="1337"/>
      <c r="Q2" s="1337"/>
      <c r="R2" s="1337"/>
      <c r="S2" s="1337"/>
      <c r="T2" s="1337"/>
      <c r="U2" s="1337"/>
      <c r="V2" s="1337"/>
      <c r="W2" s="1337"/>
      <c r="X2" s="1337"/>
      <c r="Y2" s="1338"/>
      <c r="Z2" s="1338"/>
      <c r="AA2" s="1338"/>
      <c r="AB2" s="1339"/>
      <c r="AC2" s="752"/>
    </row>
    <row r="3" spans="2:62" s="751" customFormat="1" ht="34.5" customHeight="1" x14ac:dyDescent="0.15">
      <c r="B3" s="1396" t="s">
        <v>237</v>
      </c>
      <c r="C3" s="1397"/>
      <c r="D3" s="1397"/>
      <c r="E3" s="1397"/>
      <c r="F3" s="1397"/>
      <c r="G3" s="1397"/>
      <c r="H3" s="1398"/>
      <c r="I3" s="1398"/>
      <c r="J3" s="1398"/>
      <c r="K3" s="1398"/>
      <c r="L3" s="1398"/>
      <c r="M3" s="1399" t="s">
        <v>264</v>
      </c>
      <c r="N3" s="1389"/>
      <c r="O3" s="1389"/>
      <c r="P3" s="1389"/>
      <c r="Q3" s="1399" t="s">
        <v>265</v>
      </c>
      <c r="R3" s="1389"/>
      <c r="S3" s="1389"/>
      <c r="T3" s="1389"/>
      <c r="U3" s="1388" t="s">
        <v>261</v>
      </c>
      <c r="V3" s="1389"/>
      <c r="W3" s="1389"/>
      <c r="X3" s="1389"/>
      <c r="Y3" s="1356" t="s">
        <v>276</v>
      </c>
      <c r="Z3" s="1357"/>
      <c r="AA3" s="1357"/>
      <c r="AB3" s="1357"/>
      <c r="AC3" s="754"/>
    </row>
    <row r="4" spans="2:62" s="753" customFormat="1" ht="13.5" customHeight="1" x14ac:dyDescent="0.15">
      <c r="B4" s="1390" t="s">
        <v>238</v>
      </c>
      <c r="C4" s="1391"/>
      <c r="D4" s="1391"/>
      <c r="E4" s="1391"/>
      <c r="F4" s="1391"/>
      <c r="G4" s="1391"/>
      <c r="H4" s="1392"/>
      <c r="I4" s="1392"/>
      <c r="J4" s="1392"/>
      <c r="K4" s="1392"/>
      <c r="L4" s="1392"/>
      <c r="M4" s="1393"/>
      <c r="N4" s="1394"/>
      <c r="O4" s="1394"/>
      <c r="P4" s="1395"/>
      <c r="Q4" s="1393"/>
      <c r="R4" s="1394"/>
      <c r="S4" s="1394"/>
      <c r="T4" s="1395"/>
      <c r="U4" s="1393"/>
      <c r="V4" s="1394"/>
      <c r="W4" s="1394"/>
      <c r="X4" s="1395"/>
      <c r="Y4" s="1358"/>
      <c r="Z4" s="1359"/>
      <c r="AA4" s="1359"/>
      <c r="AB4" s="1360"/>
      <c r="AC4" s="755"/>
    </row>
    <row r="5" spans="2:62" s="753" customFormat="1" ht="13.5" customHeight="1" x14ac:dyDescent="0.15">
      <c r="B5" s="756"/>
      <c r="C5" s="757" t="s">
        <v>239</v>
      </c>
      <c r="D5" s="1377" t="s">
        <v>262</v>
      </c>
      <c r="E5" s="1378"/>
      <c r="F5" s="1378"/>
      <c r="G5" s="1378"/>
      <c r="H5" s="1379"/>
      <c r="I5" s="1379"/>
      <c r="J5" s="1379"/>
      <c r="K5" s="1379"/>
      <c r="L5" s="1379"/>
      <c r="M5" s="1353">
        <v>0</v>
      </c>
      <c r="N5" s="1354"/>
      <c r="O5" s="1354"/>
      <c r="P5" s="1355"/>
      <c r="Q5" s="1353">
        <v>0</v>
      </c>
      <c r="R5" s="1354"/>
      <c r="S5" s="1354"/>
      <c r="T5" s="1355"/>
      <c r="U5" s="1353">
        <v>0</v>
      </c>
      <c r="V5" s="1354"/>
      <c r="W5" s="1354"/>
      <c r="X5" s="1355"/>
      <c r="Y5" s="1353">
        <v>0</v>
      </c>
      <c r="Z5" s="1354"/>
      <c r="AA5" s="1354"/>
      <c r="AB5" s="1355"/>
      <c r="AC5" s="755"/>
      <c r="AE5" s="774"/>
    </row>
    <row r="6" spans="2:62" s="753" customFormat="1" ht="13.5" customHeight="1" x14ac:dyDescent="0.15">
      <c r="B6" s="756"/>
      <c r="C6" s="757" t="s">
        <v>240</v>
      </c>
      <c r="D6" s="1377" t="s">
        <v>242</v>
      </c>
      <c r="E6" s="1378"/>
      <c r="F6" s="1378"/>
      <c r="G6" s="1378"/>
      <c r="H6" s="1379"/>
      <c r="I6" s="1379"/>
      <c r="J6" s="1379"/>
      <c r="K6" s="1379"/>
      <c r="L6" s="1379"/>
      <c r="M6" s="1353">
        <v>0</v>
      </c>
      <c r="N6" s="1354"/>
      <c r="O6" s="1354"/>
      <c r="P6" s="1355"/>
      <c r="Q6" s="1353">
        <v>0</v>
      </c>
      <c r="R6" s="1354"/>
      <c r="S6" s="1354"/>
      <c r="T6" s="1355"/>
      <c r="U6" s="1353">
        <v>0</v>
      </c>
      <c r="V6" s="1354"/>
      <c r="W6" s="1354"/>
      <c r="X6" s="1355"/>
      <c r="Y6" s="1353">
        <v>0</v>
      </c>
      <c r="Z6" s="1354"/>
      <c r="AA6" s="1354"/>
      <c r="AB6" s="1355"/>
      <c r="AC6" s="755"/>
    </row>
    <row r="7" spans="2:62" s="753" customFormat="1" ht="13.5" customHeight="1" x14ac:dyDescent="0.15">
      <c r="B7" s="756"/>
      <c r="C7" s="757" t="s">
        <v>241</v>
      </c>
      <c r="D7" s="1377" t="s">
        <v>243</v>
      </c>
      <c r="E7" s="1378"/>
      <c r="F7" s="1378"/>
      <c r="G7" s="1378"/>
      <c r="H7" s="1379"/>
      <c r="I7" s="1379"/>
      <c r="J7" s="1379"/>
      <c r="K7" s="1379"/>
      <c r="L7" s="1379"/>
      <c r="M7" s="1340"/>
      <c r="N7" s="1341"/>
      <c r="O7" s="1341"/>
      <c r="P7" s="1342"/>
      <c r="Q7" s="1340"/>
      <c r="R7" s="1341"/>
      <c r="S7" s="1341"/>
      <c r="T7" s="1342"/>
      <c r="U7" s="1340"/>
      <c r="V7" s="1341"/>
      <c r="W7" s="1341"/>
      <c r="X7" s="1342"/>
      <c r="Y7" s="1340"/>
      <c r="Z7" s="1341"/>
      <c r="AA7" s="1341"/>
      <c r="AB7" s="1342"/>
      <c r="AC7" s="755"/>
    </row>
    <row r="8" spans="2:62" s="753" customFormat="1" ht="13.5" customHeight="1" x14ac:dyDescent="0.15">
      <c r="B8" s="756"/>
      <c r="C8" s="757"/>
      <c r="D8" s="1400" t="s">
        <v>263</v>
      </c>
      <c r="E8" s="1401"/>
      <c r="F8" s="1401"/>
      <c r="G8" s="1401"/>
      <c r="H8" s="1401"/>
      <c r="I8" s="1401"/>
      <c r="J8" s="1401"/>
      <c r="K8" s="1401"/>
      <c r="L8" s="1402"/>
      <c r="M8" s="1330">
        <v>26</v>
      </c>
      <c r="N8" s="1331"/>
      <c r="O8" s="1331"/>
      <c r="P8" s="1332"/>
      <c r="Q8" s="1330">
        <v>0</v>
      </c>
      <c r="R8" s="1331"/>
      <c r="S8" s="1331"/>
      <c r="T8" s="1332"/>
      <c r="U8" s="1330">
        <v>26</v>
      </c>
      <c r="V8" s="1331"/>
      <c r="W8" s="1331"/>
      <c r="X8" s="1332"/>
      <c r="Y8" s="1330">
        <v>0</v>
      </c>
      <c r="Z8" s="1331"/>
      <c r="AA8" s="1331"/>
      <c r="AB8" s="1332"/>
      <c r="AC8" s="755"/>
    </row>
    <row r="9" spans="2:62" s="753" customFormat="1" ht="13.5" customHeight="1" x14ac:dyDescent="0.15">
      <c r="B9" s="1403" t="s">
        <v>244</v>
      </c>
      <c r="C9" s="1376"/>
      <c r="D9" s="1376"/>
      <c r="E9" s="1376"/>
      <c r="F9" s="1376"/>
      <c r="G9" s="1376"/>
      <c r="H9" s="1366"/>
      <c r="I9" s="1366"/>
      <c r="J9" s="1366"/>
      <c r="K9" s="1366"/>
      <c r="L9" s="1366"/>
      <c r="M9" s="1353">
        <f>SUM(M5:P8)</f>
        <v>26</v>
      </c>
      <c r="N9" s="1354"/>
      <c r="O9" s="1354"/>
      <c r="P9" s="1355"/>
      <c r="Q9" s="1353">
        <f>SUM(Q5:T8)</f>
        <v>0</v>
      </c>
      <c r="R9" s="1354"/>
      <c r="S9" s="1354"/>
      <c r="T9" s="1355"/>
      <c r="U9" s="1353">
        <f>SUM(U5:X8)</f>
        <v>26</v>
      </c>
      <c r="V9" s="1354"/>
      <c r="W9" s="1354"/>
      <c r="X9" s="1355"/>
      <c r="Y9" s="1353">
        <f>SUM(Y5:AB8)</f>
        <v>0</v>
      </c>
      <c r="Z9" s="1354"/>
      <c r="AA9" s="1354"/>
      <c r="AB9" s="1355"/>
      <c r="AC9" s="755"/>
    </row>
    <row r="10" spans="2:62" s="753" customFormat="1" ht="13.5" customHeight="1" x14ac:dyDescent="0.15">
      <c r="B10" s="1381" t="s">
        <v>245</v>
      </c>
      <c r="C10" s="1382"/>
      <c r="D10" s="1382"/>
      <c r="E10" s="1382"/>
      <c r="F10" s="1382"/>
      <c r="G10" s="1382"/>
      <c r="H10" s="1383"/>
      <c r="I10" s="1383"/>
      <c r="J10" s="1383"/>
      <c r="K10" s="1383"/>
      <c r="L10" s="1383"/>
      <c r="M10" s="1353"/>
      <c r="N10" s="1354"/>
      <c r="O10" s="1354"/>
      <c r="P10" s="1355"/>
      <c r="Q10" s="1353"/>
      <c r="R10" s="1354"/>
      <c r="S10" s="1354"/>
      <c r="T10" s="1355"/>
      <c r="U10" s="1353"/>
      <c r="V10" s="1354"/>
      <c r="W10" s="1354"/>
      <c r="X10" s="1355"/>
      <c r="Y10" s="1353"/>
      <c r="Z10" s="1354"/>
      <c r="AA10" s="1354"/>
      <c r="AB10" s="1355"/>
      <c r="AC10" s="755"/>
    </row>
    <row r="11" spans="2:62" s="753" customFormat="1" ht="13.5" customHeight="1" x14ac:dyDescent="0.15">
      <c r="B11" s="756"/>
      <c r="C11" s="757" t="s">
        <v>239</v>
      </c>
      <c r="D11" s="1377" t="s">
        <v>246</v>
      </c>
      <c r="E11" s="1378"/>
      <c r="F11" s="1378"/>
      <c r="G11" s="1378"/>
      <c r="H11" s="1379"/>
      <c r="I11" s="1379"/>
      <c r="J11" s="1379"/>
      <c r="K11" s="1379"/>
      <c r="L11" s="1379"/>
      <c r="M11" s="1340"/>
      <c r="N11" s="1341"/>
      <c r="O11" s="1341"/>
      <c r="P11" s="1342"/>
      <c r="Q11" s="1340"/>
      <c r="R11" s="1341"/>
      <c r="S11" s="1341"/>
      <c r="T11" s="1342"/>
      <c r="U11" s="1340"/>
      <c r="V11" s="1341"/>
      <c r="W11" s="1341"/>
      <c r="X11" s="1342"/>
      <c r="Y11" s="1340"/>
      <c r="Z11" s="1341"/>
      <c r="AA11" s="1341"/>
      <c r="AB11" s="1342"/>
      <c r="AC11" s="755"/>
    </row>
    <row r="12" spans="2:62" s="753" customFormat="1" ht="13.5" customHeight="1" x14ac:dyDescent="0.15">
      <c r="B12" s="758"/>
      <c r="C12" s="759"/>
      <c r="D12" s="1374" t="s">
        <v>247</v>
      </c>
      <c r="E12" s="1384"/>
      <c r="F12" s="1384"/>
      <c r="G12" s="1384"/>
      <c r="H12" s="1384"/>
      <c r="I12" s="1384"/>
      <c r="J12" s="1384"/>
      <c r="K12" s="1384"/>
      <c r="L12" s="1384"/>
      <c r="M12" s="1340"/>
      <c r="N12" s="1341"/>
      <c r="O12" s="1341"/>
      <c r="P12" s="1342"/>
      <c r="Q12" s="1340"/>
      <c r="R12" s="1341"/>
      <c r="S12" s="1341"/>
      <c r="T12" s="1342"/>
      <c r="U12" s="1340"/>
      <c r="V12" s="1341"/>
      <c r="W12" s="1341"/>
      <c r="X12" s="1342"/>
      <c r="Y12" s="1340"/>
      <c r="Z12" s="1341"/>
      <c r="AA12" s="1341"/>
      <c r="AB12" s="1342"/>
      <c r="AC12" s="755"/>
    </row>
    <row r="13" spans="2:62" s="753" customFormat="1" ht="13.5" customHeight="1" x14ac:dyDescent="0.15">
      <c r="B13" s="758"/>
      <c r="C13" s="759"/>
      <c r="D13" s="760"/>
      <c r="E13" s="1368" t="s">
        <v>248</v>
      </c>
      <c r="F13" s="1369"/>
      <c r="G13" s="1380"/>
      <c r="H13" s="1380"/>
      <c r="I13" s="1380"/>
      <c r="J13" s="1380"/>
      <c r="K13" s="1380"/>
      <c r="L13" s="1380"/>
      <c r="M13" s="1346">
        <v>0</v>
      </c>
      <c r="N13" s="1344"/>
      <c r="O13" s="1344"/>
      <c r="P13" s="1345"/>
      <c r="Q13" s="1346">
        <v>0</v>
      </c>
      <c r="R13" s="1344"/>
      <c r="S13" s="1344"/>
      <c r="T13" s="1345"/>
      <c r="U13" s="1346">
        <v>0</v>
      </c>
      <c r="V13" s="1344"/>
      <c r="W13" s="1344"/>
      <c r="X13" s="1345"/>
      <c r="Y13" s="1346">
        <v>0</v>
      </c>
      <c r="Z13" s="1344"/>
      <c r="AA13" s="1344"/>
      <c r="AB13" s="1345"/>
      <c r="AC13" s="755"/>
    </row>
    <row r="14" spans="2:62" s="753" customFormat="1" ht="13.5" customHeight="1" x14ac:dyDescent="0.15">
      <c r="B14" s="758"/>
      <c r="C14" s="759"/>
      <c r="D14" s="1377" t="s">
        <v>249</v>
      </c>
      <c r="E14" s="1379"/>
      <c r="F14" s="1379"/>
      <c r="G14" s="1379"/>
      <c r="H14" s="1379"/>
      <c r="I14" s="1379"/>
      <c r="J14" s="1379"/>
      <c r="K14" s="1379"/>
      <c r="L14" s="1379"/>
      <c r="M14" s="1340"/>
      <c r="N14" s="1341"/>
      <c r="O14" s="1341"/>
      <c r="P14" s="1342"/>
      <c r="Q14" s="1340"/>
      <c r="R14" s="1341"/>
      <c r="S14" s="1341"/>
      <c r="T14" s="1342"/>
      <c r="U14" s="1340"/>
      <c r="V14" s="1341"/>
      <c r="W14" s="1341"/>
      <c r="X14" s="1342"/>
      <c r="Y14" s="1340"/>
      <c r="Z14" s="1341"/>
      <c r="AA14" s="1341"/>
      <c r="AB14" s="1342"/>
      <c r="AC14" s="755"/>
    </row>
    <row r="15" spans="2:62" s="753" customFormat="1" ht="13.5" customHeight="1" x14ac:dyDescent="0.15">
      <c r="B15" s="758"/>
      <c r="C15" s="759"/>
      <c r="D15" s="761"/>
      <c r="E15" s="1363" t="s">
        <v>266</v>
      </c>
      <c r="F15" s="1364"/>
      <c r="G15" s="1365"/>
      <c r="H15" s="1365"/>
      <c r="I15" s="1365"/>
      <c r="J15" s="1365"/>
      <c r="K15" s="1365"/>
      <c r="L15" s="1365"/>
      <c r="M15" s="1340">
        <v>864</v>
      </c>
      <c r="N15" s="1341"/>
      <c r="O15" s="1341"/>
      <c r="P15" s="1342"/>
      <c r="Q15" s="1340">
        <v>1000</v>
      </c>
      <c r="R15" s="1341"/>
      <c r="S15" s="1341"/>
      <c r="T15" s="1342"/>
      <c r="U15" s="1340">
        <v>330</v>
      </c>
      <c r="V15" s="1341"/>
      <c r="W15" s="1341"/>
      <c r="X15" s="1342"/>
      <c r="Y15" s="1340">
        <v>1000</v>
      </c>
      <c r="Z15" s="1341"/>
      <c r="AA15" s="1341"/>
      <c r="AB15" s="1342"/>
      <c r="AC15" s="755"/>
    </row>
    <row r="16" spans="2:62" s="753" customFormat="1" ht="13.5" customHeight="1" x14ac:dyDescent="0.15">
      <c r="B16" s="758"/>
      <c r="C16" s="759"/>
      <c r="D16" s="761"/>
      <c r="E16" s="1363" t="s">
        <v>274</v>
      </c>
      <c r="F16" s="1364"/>
      <c r="G16" s="1365"/>
      <c r="H16" s="1365"/>
      <c r="I16" s="1365"/>
      <c r="J16" s="1365"/>
      <c r="K16" s="1365"/>
      <c r="L16" s="1365"/>
      <c r="M16" s="1340">
        <v>31088</v>
      </c>
      <c r="N16" s="1341"/>
      <c r="O16" s="1341"/>
      <c r="P16" s="1342"/>
      <c r="Q16" s="1340">
        <v>35000</v>
      </c>
      <c r="R16" s="1341"/>
      <c r="S16" s="1341"/>
      <c r="T16" s="1342"/>
      <c r="U16" s="1340">
        <v>23580</v>
      </c>
      <c r="V16" s="1341"/>
      <c r="W16" s="1341"/>
      <c r="X16" s="1342"/>
      <c r="Y16" s="1340">
        <v>35000</v>
      </c>
      <c r="Z16" s="1341"/>
      <c r="AA16" s="1341"/>
      <c r="AB16" s="1342"/>
      <c r="AC16" s="755"/>
    </row>
    <row r="17" spans="2:31" s="753" customFormat="1" ht="13.5" customHeight="1" x14ac:dyDescent="0.15">
      <c r="B17" s="758"/>
      <c r="C17" s="759"/>
      <c r="D17" s="761"/>
      <c r="E17" s="1363" t="s">
        <v>275</v>
      </c>
      <c r="F17" s="1364"/>
      <c r="G17" s="1365"/>
      <c r="H17" s="1365"/>
      <c r="I17" s="1365"/>
      <c r="J17" s="1365"/>
      <c r="K17" s="1365"/>
      <c r="L17" s="1365"/>
      <c r="M17" s="770"/>
      <c r="N17" s="771"/>
      <c r="O17" s="771"/>
      <c r="P17" s="772"/>
      <c r="Q17" s="1340">
        <v>40000</v>
      </c>
      <c r="R17" s="1341"/>
      <c r="S17" s="1341"/>
      <c r="T17" s="1342"/>
      <c r="U17" s="1330">
        <v>0</v>
      </c>
      <c r="V17" s="1331"/>
      <c r="W17" s="1331"/>
      <c r="X17" s="1332"/>
      <c r="Y17" s="1340">
        <v>40000</v>
      </c>
      <c r="Z17" s="1341"/>
      <c r="AA17" s="1341"/>
      <c r="AB17" s="1342"/>
      <c r="AC17" s="755"/>
    </row>
    <row r="18" spans="2:31" s="753" customFormat="1" ht="13.5" customHeight="1" x14ac:dyDescent="0.15">
      <c r="B18" s="758"/>
      <c r="C18" s="759"/>
      <c r="D18" s="762"/>
      <c r="E18" s="1376" t="s">
        <v>250</v>
      </c>
      <c r="F18" s="1376"/>
      <c r="G18" s="1366"/>
      <c r="H18" s="1366"/>
      <c r="I18" s="1366"/>
      <c r="J18" s="1366"/>
      <c r="K18" s="1366"/>
      <c r="L18" s="1366"/>
      <c r="M18" s="1346">
        <f>SUM(M15:P16)</f>
        <v>31952</v>
      </c>
      <c r="N18" s="1344"/>
      <c r="O18" s="1344"/>
      <c r="P18" s="1345"/>
      <c r="Q18" s="1346">
        <f>SUM(Q15:T17)</f>
        <v>76000</v>
      </c>
      <c r="R18" s="1344"/>
      <c r="S18" s="1344"/>
      <c r="T18" s="1345"/>
      <c r="U18" s="1346">
        <f>SUM(U15:X17)</f>
        <v>23910</v>
      </c>
      <c r="V18" s="1344"/>
      <c r="W18" s="1344"/>
      <c r="X18" s="1345"/>
      <c r="Y18" s="1346">
        <f>SUM(Y15:AB17)</f>
        <v>76000</v>
      </c>
      <c r="Z18" s="1344"/>
      <c r="AA18" s="1344"/>
      <c r="AB18" s="1345"/>
      <c r="AC18" s="755"/>
    </row>
    <row r="19" spans="2:31" s="753" customFormat="1" ht="13.5" customHeight="1" x14ac:dyDescent="0.15">
      <c r="B19" s="758"/>
      <c r="C19" s="759"/>
      <c r="D19" s="1368" t="s">
        <v>251</v>
      </c>
      <c r="E19" s="1369"/>
      <c r="F19" s="1369"/>
      <c r="G19" s="1369"/>
      <c r="H19" s="1370"/>
      <c r="I19" s="1370"/>
      <c r="J19" s="1370"/>
      <c r="K19" s="1370"/>
      <c r="L19" s="1370"/>
      <c r="M19" s="1346">
        <f>+M13+M18</f>
        <v>31952</v>
      </c>
      <c r="N19" s="1344"/>
      <c r="O19" s="1344"/>
      <c r="P19" s="1345"/>
      <c r="Q19" s="1346">
        <f>+Q13+Q18</f>
        <v>76000</v>
      </c>
      <c r="R19" s="1344"/>
      <c r="S19" s="1344"/>
      <c r="T19" s="1345"/>
      <c r="U19" s="1346">
        <f>+U13+U18</f>
        <v>23910</v>
      </c>
      <c r="V19" s="1344"/>
      <c r="W19" s="1344"/>
      <c r="X19" s="1345"/>
      <c r="Y19" s="1346">
        <f>+Y13+Y18</f>
        <v>76000</v>
      </c>
      <c r="Z19" s="1344"/>
      <c r="AA19" s="1344"/>
      <c r="AB19" s="1345"/>
      <c r="AC19" s="755"/>
    </row>
    <row r="20" spans="2:31" s="753" customFormat="1" ht="13.5" customHeight="1" x14ac:dyDescent="0.15">
      <c r="B20" s="756"/>
      <c r="C20" s="757" t="s">
        <v>240</v>
      </c>
      <c r="D20" s="1377" t="s">
        <v>252</v>
      </c>
      <c r="E20" s="1378"/>
      <c r="F20" s="1378"/>
      <c r="G20" s="1378"/>
      <c r="H20" s="1379"/>
      <c r="I20" s="1379"/>
      <c r="J20" s="1379"/>
      <c r="K20" s="1379"/>
      <c r="L20" s="1379"/>
      <c r="M20" s="1340"/>
      <c r="N20" s="1341"/>
      <c r="O20" s="1341"/>
      <c r="P20" s="1342"/>
      <c r="Q20" s="1340"/>
      <c r="R20" s="1341"/>
      <c r="S20" s="1341"/>
      <c r="T20" s="1342"/>
      <c r="U20" s="1340"/>
      <c r="V20" s="1341"/>
      <c r="W20" s="1341"/>
      <c r="X20" s="1342"/>
      <c r="Y20" s="1340"/>
      <c r="Z20" s="1341"/>
      <c r="AA20" s="1341"/>
      <c r="AB20" s="1342"/>
      <c r="AC20" s="755"/>
    </row>
    <row r="21" spans="2:31" s="753" customFormat="1" ht="13.5" customHeight="1" x14ac:dyDescent="0.15">
      <c r="B21" s="758"/>
      <c r="C21" s="759"/>
      <c r="D21" s="1374" t="s">
        <v>247</v>
      </c>
      <c r="E21" s="1373"/>
      <c r="F21" s="1373"/>
      <c r="G21" s="1373"/>
      <c r="H21" s="1373"/>
      <c r="I21" s="1373"/>
      <c r="J21" s="1373"/>
      <c r="K21" s="1373"/>
      <c r="L21" s="1373"/>
      <c r="M21" s="1340"/>
      <c r="N21" s="1341"/>
      <c r="O21" s="1341"/>
      <c r="P21" s="1342"/>
      <c r="Q21" s="1340"/>
      <c r="R21" s="1341"/>
      <c r="S21" s="1341"/>
      <c r="T21" s="1342"/>
      <c r="U21" s="1340"/>
      <c r="V21" s="1341"/>
      <c r="W21" s="1341"/>
      <c r="X21" s="1342"/>
      <c r="Y21" s="1340"/>
      <c r="Z21" s="1341"/>
      <c r="AA21" s="1341"/>
      <c r="AB21" s="1342"/>
      <c r="AC21" s="755"/>
    </row>
    <row r="22" spans="2:31" s="753" customFormat="1" ht="13.5" customHeight="1" x14ac:dyDescent="0.15">
      <c r="B22" s="758"/>
      <c r="C22" s="759"/>
      <c r="D22" s="760"/>
      <c r="E22" s="1375" t="s">
        <v>248</v>
      </c>
      <c r="F22" s="1376"/>
      <c r="G22" s="1366"/>
      <c r="H22" s="1366"/>
      <c r="I22" s="1366"/>
      <c r="J22" s="1366"/>
      <c r="K22" s="1366"/>
      <c r="L22" s="1366"/>
      <c r="M22" s="1343">
        <v>0</v>
      </c>
      <c r="N22" s="1344"/>
      <c r="O22" s="1344"/>
      <c r="P22" s="1345"/>
      <c r="Q22" s="1343">
        <v>0</v>
      </c>
      <c r="R22" s="1344"/>
      <c r="S22" s="1344"/>
      <c r="T22" s="1345"/>
      <c r="U22" s="1343">
        <v>0</v>
      </c>
      <c r="V22" s="1344"/>
      <c r="W22" s="1344"/>
      <c r="X22" s="1345"/>
      <c r="Y22" s="1343">
        <v>0</v>
      </c>
      <c r="Z22" s="1344"/>
      <c r="AA22" s="1344"/>
      <c r="AB22" s="1345"/>
      <c r="AC22" s="755"/>
    </row>
    <row r="23" spans="2:31" s="753" customFormat="1" ht="13.5" customHeight="1" x14ac:dyDescent="0.15">
      <c r="B23" s="758"/>
      <c r="C23" s="759"/>
      <c r="D23" s="1368" t="s">
        <v>249</v>
      </c>
      <c r="E23" s="1370"/>
      <c r="F23" s="1370"/>
      <c r="G23" s="1370"/>
      <c r="H23" s="1370"/>
      <c r="I23" s="1370"/>
      <c r="J23" s="1370"/>
      <c r="K23" s="1370"/>
      <c r="L23" s="1370"/>
      <c r="M23" s="1340"/>
      <c r="N23" s="1341"/>
      <c r="O23" s="1341"/>
      <c r="P23" s="1342"/>
      <c r="Q23" s="1340"/>
      <c r="R23" s="1341"/>
      <c r="S23" s="1341"/>
      <c r="T23" s="1342"/>
      <c r="U23" s="1340"/>
      <c r="V23" s="1341"/>
      <c r="W23" s="1341"/>
      <c r="X23" s="1342"/>
      <c r="Y23" s="1340"/>
      <c r="Z23" s="1341"/>
      <c r="AA23" s="1341"/>
      <c r="AB23" s="1342"/>
      <c r="AC23" s="755"/>
    </row>
    <row r="24" spans="2:31" s="753" customFormat="1" ht="13.5" customHeight="1" x14ac:dyDescent="0.15">
      <c r="B24" s="758"/>
      <c r="C24" s="759"/>
      <c r="D24" s="762"/>
      <c r="E24" s="1372" t="s">
        <v>250</v>
      </c>
      <c r="F24" s="1372"/>
      <c r="G24" s="1373"/>
      <c r="H24" s="1373"/>
      <c r="I24" s="1373"/>
      <c r="J24" s="1373"/>
      <c r="K24" s="1373"/>
      <c r="L24" s="1373"/>
      <c r="M24" s="1346">
        <v>0</v>
      </c>
      <c r="N24" s="1344"/>
      <c r="O24" s="1344"/>
      <c r="P24" s="1345"/>
      <c r="Q24" s="1346">
        <v>0</v>
      </c>
      <c r="R24" s="1344"/>
      <c r="S24" s="1344"/>
      <c r="T24" s="1345"/>
      <c r="U24" s="1346">
        <v>0</v>
      </c>
      <c r="V24" s="1344"/>
      <c r="W24" s="1344"/>
      <c r="X24" s="1345"/>
      <c r="Y24" s="1346">
        <v>0</v>
      </c>
      <c r="Z24" s="1344"/>
      <c r="AA24" s="1344"/>
      <c r="AB24" s="1345"/>
      <c r="AC24" s="755"/>
    </row>
    <row r="25" spans="2:31" s="753" customFormat="1" ht="13.5" customHeight="1" x14ac:dyDescent="0.15">
      <c r="B25" s="758"/>
      <c r="C25" s="759"/>
      <c r="D25" s="1368" t="s">
        <v>253</v>
      </c>
      <c r="E25" s="1369"/>
      <c r="F25" s="1369"/>
      <c r="G25" s="1369"/>
      <c r="H25" s="1370"/>
      <c r="I25" s="1370"/>
      <c r="J25" s="1370"/>
      <c r="K25" s="1370"/>
      <c r="L25" s="1370"/>
      <c r="M25" s="1347">
        <f>+M22+M24</f>
        <v>0</v>
      </c>
      <c r="N25" s="1348"/>
      <c r="O25" s="1348"/>
      <c r="P25" s="1349"/>
      <c r="Q25" s="1347">
        <f>+Q22+Q24</f>
        <v>0</v>
      </c>
      <c r="R25" s="1348"/>
      <c r="S25" s="1348"/>
      <c r="T25" s="1349"/>
      <c r="U25" s="1347">
        <f>+U22+U24</f>
        <v>0</v>
      </c>
      <c r="V25" s="1348"/>
      <c r="W25" s="1348"/>
      <c r="X25" s="1349"/>
      <c r="Y25" s="1347">
        <f>+Y22+Y24</f>
        <v>0</v>
      </c>
      <c r="Z25" s="1348"/>
      <c r="AA25" s="1348"/>
      <c r="AB25" s="1349"/>
      <c r="AC25" s="755"/>
    </row>
    <row r="26" spans="2:31" s="753" customFormat="1" ht="13.5" customHeight="1" x14ac:dyDescent="0.15">
      <c r="B26" s="1371" t="s">
        <v>254</v>
      </c>
      <c r="C26" s="1372"/>
      <c r="D26" s="1372"/>
      <c r="E26" s="1372"/>
      <c r="F26" s="1372"/>
      <c r="G26" s="1372"/>
      <c r="H26" s="1373"/>
      <c r="I26" s="1373"/>
      <c r="J26" s="1373"/>
      <c r="K26" s="1373"/>
      <c r="L26" s="1373"/>
      <c r="M26" s="1350">
        <f>+M19+M25</f>
        <v>31952</v>
      </c>
      <c r="N26" s="1351"/>
      <c r="O26" s="1351"/>
      <c r="P26" s="1352"/>
      <c r="Q26" s="1350">
        <f>+Q19+Q25</f>
        <v>76000</v>
      </c>
      <c r="R26" s="1351"/>
      <c r="S26" s="1351"/>
      <c r="T26" s="1352"/>
      <c r="U26" s="1350">
        <f>+U19+U25</f>
        <v>23910</v>
      </c>
      <c r="V26" s="1351"/>
      <c r="W26" s="1351"/>
      <c r="X26" s="1352"/>
      <c r="Y26" s="1350">
        <f>+Y19+Y25</f>
        <v>76000</v>
      </c>
      <c r="Z26" s="1351"/>
      <c r="AA26" s="1351"/>
      <c r="AB26" s="1352"/>
      <c r="AC26" s="755"/>
      <c r="AE26" s="765"/>
    </row>
    <row r="27" spans="2:31" s="753" customFormat="1" ht="13.5" customHeight="1" x14ac:dyDescent="0.15">
      <c r="B27" s="763" t="s">
        <v>255</v>
      </c>
      <c r="C27" s="764"/>
      <c r="D27" s="1366" t="s">
        <v>256</v>
      </c>
      <c r="E27" s="1366"/>
      <c r="F27" s="1366"/>
      <c r="G27" s="1366"/>
      <c r="H27" s="1366"/>
      <c r="I27" s="1366"/>
      <c r="J27" s="1366"/>
      <c r="K27" s="1366"/>
      <c r="L27" s="1367"/>
      <c r="M27" s="1327">
        <f>+M9-M26</f>
        <v>-31926</v>
      </c>
      <c r="N27" s="1328"/>
      <c r="O27" s="1328"/>
      <c r="P27" s="1329"/>
      <c r="Q27" s="1327">
        <f>+Q9-Q26</f>
        <v>-76000</v>
      </c>
      <c r="R27" s="1328"/>
      <c r="S27" s="1328"/>
      <c r="T27" s="1329"/>
      <c r="U27" s="1327">
        <f>+U9-U26</f>
        <v>-23884</v>
      </c>
      <c r="V27" s="1328"/>
      <c r="W27" s="1328"/>
      <c r="X27" s="1329"/>
      <c r="Y27" s="1327">
        <f>+Y9-Y26</f>
        <v>-76000</v>
      </c>
      <c r="Z27" s="1328"/>
      <c r="AA27" s="1328"/>
      <c r="AB27" s="1329"/>
      <c r="AC27" s="755"/>
    </row>
    <row r="28" spans="2:31" s="753" customFormat="1" ht="13.5" customHeight="1" x14ac:dyDescent="0.15">
      <c r="B28" s="763"/>
      <c r="C28" s="764"/>
      <c r="D28" s="1366" t="s">
        <v>257</v>
      </c>
      <c r="E28" s="1366"/>
      <c r="F28" s="1366"/>
      <c r="G28" s="1366"/>
      <c r="H28" s="1366"/>
      <c r="I28" s="1366"/>
      <c r="J28" s="1366"/>
      <c r="K28" s="1366"/>
      <c r="L28" s="1367"/>
      <c r="M28" s="1330">
        <v>3170750</v>
      </c>
      <c r="N28" s="1331"/>
      <c r="O28" s="1331"/>
      <c r="P28" s="1332"/>
      <c r="Q28" s="1330">
        <f>M29</f>
        <v>3138824</v>
      </c>
      <c r="R28" s="1331"/>
      <c r="S28" s="1331"/>
      <c r="T28" s="1332"/>
      <c r="U28" s="1330">
        <f>M29</f>
        <v>3138824</v>
      </c>
      <c r="V28" s="1331"/>
      <c r="W28" s="1331"/>
      <c r="X28" s="1332"/>
      <c r="Y28" s="1330">
        <f>U29</f>
        <v>3114940</v>
      </c>
      <c r="Z28" s="1331"/>
      <c r="AA28" s="1331"/>
      <c r="AB28" s="1332"/>
      <c r="AC28" s="755"/>
    </row>
    <row r="29" spans="2:31" s="753" customFormat="1" ht="14.25" customHeight="1" x14ac:dyDescent="0.15">
      <c r="B29" s="766" t="s">
        <v>258</v>
      </c>
      <c r="C29" s="767"/>
      <c r="D29" s="1361" t="s">
        <v>259</v>
      </c>
      <c r="E29" s="1361"/>
      <c r="F29" s="1361"/>
      <c r="G29" s="1361"/>
      <c r="H29" s="1361"/>
      <c r="I29" s="1361"/>
      <c r="J29" s="1361"/>
      <c r="K29" s="1361"/>
      <c r="L29" s="1362"/>
      <c r="M29" s="1333">
        <f>+M27+M28</f>
        <v>3138824</v>
      </c>
      <c r="N29" s="1334"/>
      <c r="O29" s="1334"/>
      <c r="P29" s="1335"/>
      <c r="Q29" s="1333">
        <f>+Q27+Q28</f>
        <v>3062824</v>
      </c>
      <c r="R29" s="1334"/>
      <c r="S29" s="1334"/>
      <c r="T29" s="1335"/>
      <c r="U29" s="1333">
        <f>+U27+U28</f>
        <v>3114940</v>
      </c>
      <c r="V29" s="1334"/>
      <c r="W29" s="1334"/>
      <c r="X29" s="1335"/>
      <c r="Y29" s="1333">
        <f>+Y27+Y28</f>
        <v>3038940</v>
      </c>
      <c r="Z29" s="1334"/>
      <c r="AA29" s="1334"/>
      <c r="AB29" s="1335"/>
      <c r="AC29" s="768"/>
    </row>
    <row r="30" spans="2:31" s="753" customFormat="1" ht="6" customHeight="1" x14ac:dyDescent="0.15">
      <c r="B30" s="1385"/>
      <c r="C30" s="1386"/>
      <c r="D30" s="1386"/>
      <c r="E30" s="1386"/>
      <c r="F30" s="1386"/>
      <c r="G30" s="1386"/>
      <c r="H30" s="1386"/>
      <c r="I30" s="1386"/>
      <c r="J30" s="1386"/>
      <c r="K30" s="1386"/>
      <c r="L30" s="1386"/>
      <c r="M30" s="1386"/>
      <c r="N30" s="1386"/>
      <c r="O30" s="1386"/>
      <c r="P30" s="1386"/>
      <c r="Q30" s="1386"/>
      <c r="R30" s="1386"/>
      <c r="S30" s="1386"/>
      <c r="T30" s="1386"/>
      <c r="U30" s="1387"/>
      <c r="V30" s="1387"/>
      <c r="W30" s="1387"/>
      <c r="X30" s="1387"/>
      <c r="Y30" s="1213"/>
      <c r="Z30" s="1213"/>
      <c r="AA30" s="1213"/>
      <c r="AB30" s="1213"/>
      <c r="AC30" s="768"/>
    </row>
    <row r="31" spans="2:31" x14ac:dyDescent="0.15">
      <c r="B31" s="769"/>
      <c r="C31" s="769"/>
      <c r="D31" s="769"/>
      <c r="E31" s="769"/>
      <c r="F31" s="769"/>
      <c r="G31" s="769"/>
      <c r="H31" s="769"/>
      <c r="I31" s="769"/>
      <c r="J31" s="769"/>
      <c r="K31" s="769"/>
      <c r="L31" s="769"/>
      <c r="M31" s="769"/>
      <c r="N31" s="769"/>
      <c r="O31" s="769"/>
      <c r="P31" s="769"/>
      <c r="Q31" s="769"/>
      <c r="R31" s="769"/>
      <c r="S31" s="769"/>
      <c r="T31" s="769"/>
      <c r="U31" s="769"/>
      <c r="V31" s="769"/>
      <c r="W31" s="769"/>
      <c r="X31" s="769"/>
      <c r="Y31" s="769"/>
      <c r="Z31" s="769"/>
      <c r="AA31" s="769"/>
      <c r="AB31" s="769"/>
    </row>
    <row r="32" spans="2:31" x14ac:dyDescent="0.15">
      <c r="B32" s="769"/>
      <c r="C32" s="769"/>
      <c r="D32" s="769"/>
      <c r="E32" s="769"/>
      <c r="F32" s="769"/>
      <c r="G32" s="769"/>
      <c r="H32" s="769"/>
      <c r="I32" s="769"/>
      <c r="J32" s="769"/>
      <c r="K32" s="769"/>
      <c r="L32" s="769"/>
      <c r="M32" s="769"/>
      <c r="N32" s="769"/>
      <c r="O32" s="769"/>
      <c r="P32" s="769"/>
      <c r="Q32" s="769"/>
      <c r="R32" s="769"/>
      <c r="S32" s="769"/>
      <c r="T32" s="769"/>
      <c r="U32" s="769"/>
      <c r="V32" s="769"/>
      <c r="W32" s="769"/>
      <c r="X32" s="769"/>
      <c r="Y32" s="769"/>
      <c r="Z32" s="769"/>
      <c r="AA32" s="769"/>
      <c r="AB32" s="769"/>
    </row>
  </sheetData>
  <mergeCells count="137">
    <mergeCell ref="B30:X30"/>
    <mergeCell ref="U3:X3"/>
    <mergeCell ref="B4:L4"/>
    <mergeCell ref="M4:P4"/>
    <mergeCell ref="Q4:T4"/>
    <mergeCell ref="U4:X4"/>
    <mergeCell ref="D5:L5"/>
    <mergeCell ref="M5:P5"/>
    <mergeCell ref="Q5:T5"/>
    <mergeCell ref="U5:X5"/>
    <mergeCell ref="B3:L3"/>
    <mergeCell ref="M3:P3"/>
    <mergeCell ref="Q3:T3"/>
    <mergeCell ref="D8:L8"/>
    <mergeCell ref="M8:P8"/>
    <mergeCell ref="Q8:T8"/>
    <mergeCell ref="U8:X8"/>
    <mergeCell ref="B9:L9"/>
    <mergeCell ref="M9:P9"/>
    <mergeCell ref="Q9:T9"/>
    <mergeCell ref="U9:X9"/>
    <mergeCell ref="D6:L6"/>
    <mergeCell ref="M6:P6"/>
    <mergeCell ref="Q6:T6"/>
    <mergeCell ref="U6:X6"/>
    <mergeCell ref="D7:L7"/>
    <mergeCell ref="M7:P7"/>
    <mergeCell ref="Q7:T7"/>
    <mergeCell ref="U7:X7"/>
    <mergeCell ref="D12:L12"/>
    <mergeCell ref="M12:P12"/>
    <mergeCell ref="Q12:T12"/>
    <mergeCell ref="U12:X12"/>
    <mergeCell ref="E13:L13"/>
    <mergeCell ref="M13:P13"/>
    <mergeCell ref="Q13:T13"/>
    <mergeCell ref="U13:X13"/>
    <mergeCell ref="B10:L10"/>
    <mergeCell ref="M10:P10"/>
    <mergeCell ref="Q10:T10"/>
    <mergeCell ref="U10:X10"/>
    <mergeCell ref="D11:L11"/>
    <mergeCell ref="M11:P11"/>
    <mergeCell ref="Q11:T11"/>
    <mergeCell ref="U11:X11"/>
    <mergeCell ref="E16:L16"/>
    <mergeCell ref="M16:P16"/>
    <mergeCell ref="Q16:T16"/>
    <mergeCell ref="U16:X16"/>
    <mergeCell ref="E18:L18"/>
    <mergeCell ref="M18:P18"/>
    <mergeCell ref="Q18:T18"/>
    <mergeCell ref="U18:X18"/>
    <mergeCell ref="D14:L14"/>
    <mergeCell ref="M14:P14"/>
    <mergeCell ref="Q14:T14"/>
    <mergeCell ref="U14:X14"/>
    <mergeCell ref="E15:L15"/>
    <mergeCell ref="M15:P15"/>
    <mergeCell ref="Q15:T15"/>
    <mergeCell ref="U15:X15"/>
    <mergeCell ref="D21:L21"/>
    <mergeCell ref="M21:P21"/>
    <mergeCell ref="Q21:T21"/>
    <mergeCell ref="U21:X21"/>
    <mergeCell ref="E22:L22"/>
    <mergeCell ref="M22:P22"/>
    <mergeCell ref="Q22:T22"/>
    <mergeCell ref="U22:X22"/>
    <mergeCell ref="D19:L19"/>
    <mergeCell ref="M19:P19"/>
    <mergeCell ref="Q19:T19"/>
    <mergeCell ref="U19:X19"/>
    <mergeCell ref="D20:L20"/>
    <mergeCell ref="M20:P20"/>
    <mergeCell ref="Q20:T20"/>
    <mergeCell ref="U20:X20"/>
    <mergeCell ref="B26:L26"/>
    <mergeCell ref="M26:P26"/>
    <mergeCell ref="Q26:T26"/>
    <mergeCell ref="U26:X26"/>
    <mergeCell ref="D23:L23"/>
    <mergeCell ref="M23:P23"/>
    <mergeCell ref="Q23:T23"/>
    <mergeCell ref="U23:X23"/>
    <mergeCell ref="E24:L24"/>
    <mergeCell ref="M24:P24"/>
    <mergeCell ref="Q24:T24"/>
    <mergeCell ref="U24:X24"/>
    <mergeCell ref="Y4:AB4"/>
    <mergeCell ref="Y5:AB5"/>
    <mergeCell ref="Y6:AB6"/>
    <mergeCell ref="Y7:AB7"/>
    <mergeCell ref="Y8:AB8"/>
    <mergeCell ref="D29:L29"/>
    <mergeCell ref="M29:P29"/>
    <mergeCell ref="Q29:T29"/>
    <mergeCell ref="U29:X29"/>
    <mergeCell ref="E17:L17"/>
    <mergeCell ref="Q17:T17"/>
    <mergeCell ref="U17:X17"/>
    <mergeCell ref="D27:L27"/>
    <mergeCell ref="M27:P27"/>
    <mergeCell ref="Q27:T27"/>
    <mergeCell ref="U27:X27"/>
    <mergeCell ref="D28:L28"/>
    <mergeCell ref="M28:P28"/>
    <mergeCell ref="Q28:T28"/>
    <mergeCell ref="U28:X28"/>
    <mergeCell ref="D25:L25"/>
    <mergeCell ref="M25:P25"/>
    <mergeCell ref="Q25:T25"/>
    <mergeCell ref="U25:X25"/>
    <mergeCell ref="Y27:AB27"/>
    <mergeCell ref="Y28:AB28"/>
    <mergeCell ref="Y29:AB29"/>
    <mergeCell ref="B1:AB1"/>
    <mergeCell ref="B2:AB2"/>
    <mergeCell ref="Y21:AB21"/>
    <mergeCell ref="Y22:AB22"/>
    <mergeCell ref="Y23:AB23"/>
    <mergeCell ref="Y24:AB24"/>
    <mergeCell ref="Y25:AB25"/>
    <mergeCell ref="Y26:AB26"/>
    <mergeCell ref="Y15:AB15"/>
    <mergeCell ref="Y16:AB16"/>
    <mergeCell ref="Y17:AB17"/>
    <mergeCell ref="Y18:AB18"/>
    <mergeCell ref="Y19:AB19"/>
    <mergeCell ref="Y20:AB20"/>
    <mergeCell ref="Y9:AB9"/>
    <mergeCell ref="Y10:AB10"/>
    <mergeCell ref="Y11:AB11"/>
    <mergeCell ref="Y12:AB12"/>
    <mergeCell ref="Y13:AB13"/>
    <mergeCell ref="Y14:AB14"/>
    <mergeCell ref="Y3:AB3"/>
  </mergeCells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一般会計</vt:lpstr>
      <vt:lpstr>特別会計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y-ishida</dc:creator>
  <cp:lastModifiedBy>Yasuhiko Kotagiri</cp:lastModifiedBy>
  <cp:lastPrinted>2021-03-03T08:04:58Z</cp:lastPrinted>
  <dcterms:created xsi:type="dcterms:W3CDTF">2016-12-09T04:35:07Z</dcterms:created>
  <dcterms:modified xsi:type="dcterms:W3CDTF">2021-03-04T02:00:48Z</dcterms:modified>
</cp:coreProperties>
</file>